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autoCompressPictures="0"/>
  <mc:AlternateContent xmlns:mc="http://schemas.openxmlformats.org/markup-compatibility/2006">
    <mc:Choice Requires="x15">
      <x15ac:absPath xmlns:x15ac="http://schemas.microsoft.com/office/spreadsheetml/2010/11/ac" url="C:\Users\elisabeth.rehfeld\Desktop\"/>
    </mc:Choice>
  </mc:AlternateContent>
  <xr:revisionPtr revIDLastSave="0" documentId="13_ncr:1_{E035A628-97AA-4C2F-9E2C-69D09A6C85B1}"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7520" tabRatio="789" activeTab="4"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 i="8" l="1"/>
  <c r="B6" i="5"/>
  <c r="C6" i="5"/>
  <c r="V6" i="5"/>
  <c r="J6" i="5"/>
  <c r="E6" i="5"/>
  <c r="S6" i="5"/>
  <c r="T6" i="5"/>
  <c r="B7" i="5"/>
  <c r="C7" i="5"/>
  <c r="V7" i="5"/>
  <c r="J7" i="5"/>
  <c r="T7" i="5"/>
  <c r="B8" i="5"/>
  <c r="C8" i="5"/>
  <c r="V8" i="5"/>
  <c r="J8" i="5"/>
  <c r="E8" i="5"/>
  <c r="S8" i="5"/>
  <c r="T8" i="5"/>
  <c r="B9" i="5"/>
  <c r="C9" i="5"/>
  <c r="V9" i="5"/>
  <c r="J9" i="5"/>
  <c r="E9" i="5"/>
  <c r="S9" i="5"/>
  <c r="T9" i="5"/>
  <c r="B10" i="5"/>
  <c r="C10" i="5"/>
  <c r="V10" i="5"/>
  <c r="J10" i="5"/>
  <c r="E10" i="5"/>
  <c r="S10" i="5"/>
  <c r="T10" i="5"/>
  <c r="B11" i="5"/>
  <c r="C11" i="5"/>
  <c r="V11" i="5"/>
  <c r="J11" i="5"/>
  <c r="E11" i="5"/>
  <c r="S11" i="5"/>
  <c r="T11" i="5"/>
  <c r="B12" i="5"/>
  <c r="C12" i="5"/>
  <c r="V12" i="5"/>
  <c r="J12" i="5"/>
  <c r="E12" i="5"/>
  <c r="S12" i="5"/>
  <c r="T12" i="5"/>
  <c r="B13" i="5"/>
  <c r="C13" i="5"/>
  <c r="V13" i="5"/>
  <c r="J13" i="5"/>
  <c r="E13" i="5"/>
  <c r="S13" i="5"/>
  <c r="T13" i="5"/>
  <c r="B14" i="5"/>
  <c r="C14" i="5"/>
  <c r="V14" i="5"/>
  <c r="J14" i="5"/>
  <c r="E14" i="5"/>
  <c r="S14" i="5"/>
  <c r="T14" i="5"/>
  <c r="B15" i="5"/>
  <c r="C15" i="5"/>
  <c r="V15" i="5"/>
  <c r="J15" i="5"/>
  <c r="E15" i="5"/>
  <c r="S15" i="5"/>
  <c r="T15" i="5"/>
  <c r="B16" i="5"/>
  <c r="C16" i="5"/>
  <c r="V16" i="5"/>
  <c r="J16" i="5"/>
  <c r="E16" i="5"/>
  <c r="S16" i="5"/>
  <c r="T16" i="5"/>
  <c r="B17" i="5"/>
  <c r="C17" i="5"/>
  <c r="V17" i="5"/>
  <c r="J17" i="5"/>
  <c r="E17" i="5"/>
  <c r="S17" i="5"/>
  <c r="T17" i="5"/>
  <c r="B18" i="5"/>
  <c r="C18" i="5"/>
  <c r="V18" i="5"/>
  <c r="J18" i="5"/>
  <c r="E18" i="5"/>
  <c r="S18" i="5"/>
  <c r="T18" i="5"/>
  <c r="B19" i="5"/>
  <c r="C19" i="5"/>
  <c r="V19" i="5"/>
  <c r="J19" i="5"/>
  <c r="E19" i="5"/>
  <c r="S19" i="5"/>
  <c r="T19" i="5"/>
  <c r="B20" i="5"/>
  <c r="C20" i="5"/>
  <c r="V20" i="5"/>
  <c r="J20" i="5"/>
  <c r="E20" i="5"/>
  <c r="S20" i="5"/>
  <c r="T20" i="5"/>
  <c r="B21" i="5"/>
  <c r="C21" i="5"/>
  <c r="V21" i="5"/>
  <c r="J21" i="5"/>
  <c r="E21" i="5"/>
  <c r="S21" i="5"/>
  <c r="T21" i="5"/>
  <c r="B22" i="5"/>
  <c r="C22" i="5"/>
  <c r="V22" i="5"/>
  <c r="J22" i="5"/>
  <c r="E22" i="5"/>
  <c r="S22" i="5"/>
  <c r="T22" i="5"/>
  <c r="B23" i="5"/>
  <c r="C23" i="5"/>
  <c r="V23" i="5"/>
  <c r="J23" i="5"/>
  <c r="E23" i="5"/>
  <c r="S23" i="5"/>
  <c r="T23" i="5"/>
  <c r="B24" i="5"/>
  <c r="C24" i="5"/>
  <c r="V24" i="5"/>
  <c r="J24" i="5"/>
  <c r="E24" i="5"/>
  <c r="S24" i="5"/>
  <c r="T24" i="5"/>
  <c r="B25" i="5"/>
  <c r="C25" i="5"/>
  <c r="V25" i="5"/>
  <c r="J25" i="5"/>
  <c r="E25" i="5"/>
  <c r="S25" i="5"/>
  <c r="T25" i="5"/>
  <c r="B26" i="5"/>
  <c r="C26" i="5"/>
  <c r="V26" i="5"/>
  <c r="J26" i="5"/>
  <c r="E26" i="5"/>
  <c r="S26" i="5"/>
  <c r="T26" i="5"/>
  <c r="B27" i="5"/>
  <c r="C27" i="5"/>
  <c r="V27" i="5"/>
  <c r="J27" i="5"/>
  <c r="E27" i="5"/>
  <c r="S27" i="5"/>
  <c r="T27" i="5"/>
  <c r="B28" i="5"/>
  <c r="C28" i="5"/>
  <c r="V28" i="5"/>
  <c r="J28" i="5"/>
  <c r="E28" i="5"/>
  <c r="S28" i="5"/>
  <c r="T28" i="5"/>
  <c r="B29" i="5"/>
  <c r="C29" i="5"/>
  <c r="V29" i="5"/>
  <c r="J29" i="5"/>
  <c r="E29" i="5"/>
  <c r="S29" i="5"/>
  <c r="T29" i="5"/>
  <c r="B30" i="5"/>
  <c r="C30" i="5"/>
  <c r="V30" i="5"/>
  <c r="J30" i="5"/>
  <c r="E30" i="5"/>
  <c r="S30" i="5"/>
  <c r="T30" i="5"/>
  <c r="B31" i="5"/>
  <c r="C31" i="5"/>
  <c r="V31" i="5"/>
  <c r="J31" i="5"/>
  <c r="E31" i="5"/>
  <c r="S31" i="5"/>
  <c r="T31" i="5"/>
  <c r="B32" i="5"/>
  <c r="C32" i="5"/>
  <c r="V32" i="5"/>
  <c r="J32" i="5"/>
  <c r="E32" i="5"/>
  <c r="S32" i="5"/>
  <c r="T32" i="5"/>
  <c r="B33" i="5"/>
  <c r="C33" i="5"/>
  <c r="V33" i="5"/>
  <c r="J33" i="5"/>
  <c r="E33" i="5"/>
  <c r="S33" i="5"/>
  <c r="T33" i="5"/>
  <c r="B34" i="5"/>
  <c r="C34" i="5"/>
  <c r="V34" i="5"/>
  <c r="J34" i="5"/>
  <c r="E34" i="5"/>
  <c r="S34" i="5"/>
  <c r="T34" i="5"/>
  <c r="B35" i="5"/>
  <c r="C35" i="5"/>
  <c r="V35" i="5"/>
  <c r="J35" i="5"/>
  <c r="E35" i="5"/>
  <c r="S35" i="5"/>
  <c r="T35" i="5"/>
  <c r="B36" i="5"/>
  <c r="C36" i="5"/>
  <c r="V36" i="5"/>
  <c r="J36" i="5"/>
  <c r="E36" i="5"/>
  <c r="S36" i="5"/>
  <c r="T36" i="5"/>
  <c r="B37" i="5"/>
  <c r="C37" i="5"/>
  <c r="V37" i="5"/>
  <c r="J37" i="5"/>
  <c r="E37" i="5"/>
  <c r="S37" i="5"/>
  <c r="T37" i="5"/>
  <c r="B38" i="5"/>
  <c r="C38" i="5"/>
  <c r="V38" i="5"/>
  <c r="J38" i="5"/>
  <c r="E38" i="5"/>
  <c r="S38" i="5"/>
  <c r="T38" i="5"/>
  <c r="B39" i="5"/>
  <c r="C39" i="5"/>
  <c r="V39" i="5"/>
  <c r="J39" i="5"/>
  <c r="E39" i="5"/>
  <c r="S39" i="5"/>
  <c r="T39" i="5"/>
  <c r="B40" i="5"/>
  <c r="C40" i="5"/>
  <c r="V40" i="5"/>
  <c r="J40" i="5"/>
  <c r="E40" i="5"/>
  <c r="S40" i="5"/>
  <c r="T40" i="5"/>
  <c r="B41" i="5"/>
  <c r="C41" i="5"/>
  <c r="V41" i="5"/>
  <c r="J41" i="5"/>
  <c r="E41" i="5"/>
  <c r="S41" i="5"/>
  <c r="T41" i="5"/>
  <c r="B42" i="5"/>
  <c r="C42" i="5"/>
  <c r="V42" i="5"/>
  <c r="J42" i="5"/>
  <c r="E42" i="5"/>
  <c r="S42" i="5"/>
  <c r="T42" i="5"/>
  <c r="B43" i="5"/>
  <c r="C43" i="5"/>
  <c r="V43" i="5"/>
  <c r="J43" i="5"/>
  <c r="E43" i="5"/>
  <c r="S43" i="5"/>
  <c r="T43" i="5"/>
  <c r="B44" i="5"/>
  <c r="C44" i="5"/>
  <c r="V44" i="5"/>
  <c r="J44" i="5"/>
  <c r="E44" i="5"/>
  <c r="S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C5" i="5"/>
  <c r="V5" i="5"/>
  <c r="J5" i="5"/>
  <c r="E5" i="5"/>
  <c r="S5"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AB20" i="5"/>
  <c r="AB21" i="5"/>
  <c r="AB23" i="5"/>
  <c r="AB29" i="5"/>
  <c r="AB34" i="5"/>
  <c r="AB36" i="5"/>
  <c r="AB37" i="5"/>
  <c r="AB40" i="5"/>
  <c r="AB43"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4"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X9" i="5"/>
  <c r="X10" i="5"/>
  <c r="X11" i="5"/>
  <c r="X12" i="5"/>
  <c r="X13" i="5"/>
  <c r="X14" i="5"/>
  <c r="X15" i="5"/>
  <c r="X16" i="5"/>
  <c r="X17" i="5"/>
  <c r="X18" i="5"/>
  <c r="X20" i="5"/>
  <c r="X21" i="5"/>
  <c r="X22" i="5"/>
  <c r="X23" i="5"/>
  <c r="X24" i="5"/>
  <c r="X25" i="5"/>
  <c r="X26" i="5"/>
  <c r="X28" i="5"/>
  <c r="X29" i="5"/>
  <c r="X31" i="5"/>
  <c r="X32" i="5"/>
  <c r="X33" i="5"/>
  <c r="X34" i="5"/>
  <c r="X35" i="5"/>
  <c r="X37" i="5"/>
  <c r="X38" i="5"/>
  <c r="X39" i="5"/>
  <c r="X41" i="5"/>
  <c r="X42" i="5"/>
  <c r="X44" i="5"/>
  <c r="V45" i="5"/>
  <c r="E45" i="5"/>
  <c r="X45" i="5"/>
  <c r="V46" i="5"/>
  <c r="E46" i="5"/>
  <c r="X46" i="5"/>
  <c r="V47" i="5"/>
  <c r="E47" i="5"/>
  <c r="X47" i="5"/>
  <c r="V48" i="5"/>
  <c r="E48" i="5"/>
  <c r="X48" i="5"/>
  <c r="V49" i="5"/>
  <c r="V50" i="5"/>
  <c r="E50" i="5"/>
  <c r="X50" i="5"/>
  <c r="V51" i="5"/>
  <c r="E51" i="5"/>
  <c r="X51" i="5"/>
  <c r="V52" i="5"/>
  <c r="E52" i="5"/>
  <c r="V53" i="5"/>
  <c r="E53" i="5"/>
  <c r="X53" i="5"/>
  <c r="V54" i="5"/>
  <c r="E54" i="5"/>
  <c r="X54" i="5"/>
  <c r="V55" i="5"/>
  <c r="E55" i="5"/>
  <c r="X55" i="5"/>
  <c r="V56" i="5"/>
  <c r="E56" i="5"/>
  <c r="V57" i="5"/>
  <c r="E57" i="5"/>
  <c r="X57" i="5"/>
  <c r="V58" i="5"/>
  <c r="E58" i="5"/>
  <c r="X58" i="5"/>
  <c r="V59" i="5"/>
  <c r="E59" i="5"/>
  <c r="X59" i="5"/>
  <c r="V60" i="5"/>
  <c r="E60" i="5"/>
  <c r="V61" i="5"/>
  <c r="V62" i="5"/>
  <c r="V63" i="5"/>
  <c r="E63" i="5"/>
  <c r="X63" i="5"/>
  <c r="V64" i="5"/>
  <c r="E64" i="5"/>
  <c r="V65" i="5"/>
  <c r="E65" i="5"/>
  <c r="X65" i="5"/>
  <c r="V66" i="5"/>
  <c r="E66" i="5"/>
  <c r="X66" i="5"/>
  <c r="V67" i="5"/>
  <c r="E67" i="5"/>
  <c r="X67" i="5"/>
  <c r="V68" i="5"/>
  <c r="E68" i="5"/>
  <c r="V69" i="5"/>
  <c r="E69" i="5"/>
  <c r="X69" i="5"/>
  <c r="V70" i="5"/>
  <c r="E70" i="5"/>
  <c r="X70" i="5"/>
  <c r="V71" i="5"/>
  <c r="H71" i="5"/>
  <c r="E71" i="5"/>
  <c r="X71" i="5"/>
  <c r="V72" i="5"/>
  <c r="E72" i="5"/>
  <c r="V73" i="5"/>
  <c r="E73" i="5"/>
  <c r="X73" i="5"/>
  <c r="V74" i="5"/>
  <c r="E74" i="5"/>
  <c r="X74" i="5"/>
  <c r="V75" i="5"/>
  <c r="E75" i="5"/>
  <c r="X75" i="5"/>
  <c r="V76" i="5"/>
  <c r="E76" i="5"/>
  <c r="X76" i="5"/>
  <c r="V77" i="5"/>
  <c r="E77" i="5"/>
  <c r="X77" i="5"/>
  <c r="V78" i="5"/>
  <c r="V79" i="5"/>
  <c r="E79" i="5"/>
  <c r="X79" i="5"/>
  <c r="V80" i="5"/>
  <c r="E80" i="5"/>
  <c r="V81" i="5"/>
  <c r="E81" i="5"/>
  <c r="X81" i="5"/>
  <c r="V82" i="5"/>
  <c r="E82" i="5"/>
  <c r="X82" i="5"/>
  <c r="V83" i="5"/>
  <c r="E83" i="5"/>
  <c r="X83" i="5"/>
  <c r="V84" i="5"/>
  <c r="E84" i="5"/>
  <c r="V85" i="5"/>
  <c r="E85" i="5"/>
  <c r="X85" i="5"/>
  <c r="V86" i="5"/>
  <c r="E86" i="5"/>
  <c r="X86" i="5"/>
  <c r="V87" i="5"/>
  <c r="V88" i="5"/>
  <c r="E88" i="5"/>
  <c r="V89" i="5"/>
  <c r="E89" i="5"/>
  <c r="X89" i="5"/>
  <c r="V90" i="5"/>
  <c r="E90" i="5"/>
  <c r="X90" i="5"/>
  <c r="V91" i="5"/>
  <c r="E91" i="5"/>
  <c r="X91" i="5"/>
  <c r="V92" i="5"/>
  <c r="V93" i="5"/>
  <c r="V94" i="5"/>
  <c r="E94" i="5"/>
  <c r="X94" i="5"/>
  <c r="V95" i="5"/>
  <c r="E95" i="5"/>
  <c r="X95" i="5"/>
  <c r="V96" i="5"/>
  <c r="E96" i="5"/>
  <c r="X96" i="5"/>
  <c r="V97" i="5"/>
  <c r="E97" i="5"/>
  <c r="X97" i="5"/>
  <c r="V98" i="5"/>
  <c r="E98" i="5"/>
  <c r="X98" i="5"/>
  <c r="V99" i="5"/>
  <c r="E99" i="5"/>
  <c r="X99" i="5"/>
  <c r="V100" i="5"/>
  <c r="E100" i="5"/>
  <c r="X100" i="5"/>
  <c r="V101" i="5"/>
  <c r="E101" i="5"/>
  <c r="V102" i="5"/>
  <c r="E102" i="5"/>
  <c r="X102" i="5"/>
  <c r="V103" i="5"/>
  <c r="V104" i="5"/>
  <c r="E104" i="5"/>
  <c r="X104" i="5"/>
  <c r="V105" i="5"/>
  <c r="E105" i="5"/>
  <c r="X105" i="5"/>
  <c r="V106" i="5"/>
  <c r="E106" i="5"/>
  <c r="X106" i="5"/>
  <c r="V107" i="5"/>
  <c r="E107" i="5"/>
  <c r="X107" i="5"/>
  <c r="V108" i="5"/>
  <c r="V109" i="5"/>
  <c r="E109" i="5"/>
  <c r="X109" i="5"/>
  <c r="V110" i="5"/>
  <c r="E110" i="5"/>
  <c r="X110" i="5"/>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c r="V129" i="5"/>
  <c r="E129" i="5"/>
  <c r="X129" i="5"/>
  <c r="V130" i="5"/>
  <c r="E130" i="5"/>
  <c r="X130" i="5"/>
  <c r="V131" i="5"/>
  <c r="E131" i="5"/>
  <c r="X131" i="5"/>
  <c r="V132" i="5"/>
  <c r="E132" i="5"/>
  <c r="X132" i="5"/>
  <c r="V133" i="5"/>
  <c r="V134" i="5"/>
  <c r="E134" i="5"/>
  <c r="X134" i="5"/>
  <c r="V135" i="5"/>
  <c r="E135" i="5"/>
  <c r="X135" i="5"/>
  <c r="V136" i="5"/>
  <c r="E136" i="5"/>
  <c r="X136" i="5"/>
  <c r="V137" i="5"/>
  <c r="E137" i="5"/>
  <c r="X137" i="5"/>
  <c r="V138" i="5"/>
  <c r="E138" i="5"/>
  <c r="X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V153" i="5"/>
  <c r="V154" i="5"/>
  <c r="E154" i="5"/>
  <c r="X154" i="5"/>
  <c r="V155" i="5"/>
  <c r="E155" i="5"/>
  <c r="X155" i="5"/>
  <c r="V156" i="5"/>
  <c r="E156" i="5"/>
  <c r="X156" i="5"/>
  <c r="V157" i="5"/>
  <c r="E157" i="5"/>
  <c r="X157" i="5"/>
  <c r="V158" i="5"/>
  <c r="E158" i="5"/>
  <c r="X158" i="5"/>
  <c r="V159" i="5"/>
  <c r="E159" i="5"/>
  <c r="X159" i="5"/>
  <c r="V160" i="5"/>
  <c r="E160" i="5"/>
  <c r="X160" i="5"/>
  <c r="V161" i="5"/>
  <c r="V162" i="5"/>
  <c r="E162" i="5"/>
  <c r="X162" i="5"/>
  <c r="V163" i="5"/>
  <c r="E163" i="5"/>
  <c r="X163" i="5"/>
  <c r="V164" i="5"/>
  <c r="E164" i="5"/>
  <c r="X164" i="5"/>
  <c r="V165" i="5"/>
  <c r="E165" i="5"/>
  <c r="X165" i="5"/>
  <c r="V166" i="5"/>
  <c r="E166" i="5"/>
  <c r="X166" i="5"/>
  <c r="V167" i="5"/>
  <c r="E167" i="5"/>
  <c r="X167" i="5"/>
  <c r="V168" i="5"/>
  <c r="E168" i="5"/>
  <c r="X168" i="5"/>
  <c r="V169" i="5"/>
  <c r="V170" i="5"/>
  <c r="V171" i="5"/>
  <c r="E171" i="5"/>
  <c r="X171" i="5"/>
  <c r="V172" i="5"/>
  <c r="E172" i="5"/>
  <c r="X172" i="5"/>
  <c r="V173" i="5"/>
  <c r="E173" i="5"/>
  <c r="X173" i="5"/>
  <c r="V174" i="5"/>
  <c r="E174" i="5"/>
  <c r="X174" i="5"/>
  <c r="V175" i="5"/>
  <c r="V176" i="5"/>
  <c r="E176" i="5"/>
  <c r="X176" i="5"/>
  <c r="V177" i="5"/>
  <c r="E177" i="5"/>
  <c r="X177" i="5"/>
  <c r="V178" i="5"/>
  <c r="E178" i="5"/>
  <c r="X178" i="5"/>
  <c r="V179" i="5"/>
  <c r="E179" i="5"/>
  <c r="X179" i="5"/>
  <c r="V180" i="5"/>
  <c r="E180" i="5"/>
  <c r="X180" i="5"/>
  <c r="V181" i="5"/>
  <c r="V182" i="5"/>
  <c r="V183" i="5"/>
  <c r="E183" i="5"/>
  <c r="X183" i="5"/>
  <c r="V184" i="5"/>
  <c r="E184" i="5"/>
  <c r="X184" i="5"/>
  <c r="V185" i="5"/>
  <c r="E185" i="5"/>
  <c r="X185" i="5"/>
  <c r="V186" i="5"/>
  <c r="E186" i="5"/>
  <c r="X186" i="5"/>
  <c r="V187" i="5"/>
  <c r="E187" i="5"/>
  <c r="X187" i="5"/>
  <c r="V188" i="5"/>
  <c r="E188" i="5"/>
  <c r="X188" i="5"/>
  <c r="V189" i="5"/>
  <c r="V190" i="5"/>
  <c r="V191" i="5"/>
  <c r="V192" i="5"/>
  <c r="E192" i="5"/>
  <c r="X192" i="5"/>
  <c r="V193" i="5"/>
  <c r="V194" i="5"/>
  <c r="V195" i="5"/>
  <c r="V196" i="5"/>
  <c r="E196" i="5"/>
  <c r="X196" i="5"/>
  <c r="V197" i="5"/>
  <c r="V198" i="5"/>
  <c r="V199"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V344" i="5"/>
  <c r="E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c r="V382" i="5"/>
  <c r="E382" i="5"/>
  <c r="X382" i="5"/>
  <c r="V383" i="5"/>
  <c r="V384" i="5"/>
  <c r="V385" i="5"/>
  <c r="E385" i="5"/>
  <c r="X385" i="5"/>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c r="V406" i="5"/>
  <c r="E406" i="5"/>
  <c r="X406" i="5"/>
  <c r="V407" i="5"/>
  <c r="V408" i="5"/>
  <c r="E408" i="5"/>
  <c r="X408" i="5"/>
  <c r="V409" i="5"/>
  <c r="E409" i="5"/>
  <c r="X409" i="5"/>
  <c r="V410" i="5"/>
  <c r="E410" i="5"/>
  <c r="X410" i="5"/>
  <c r="V411" i="5"/>
  <c r="E411" i="5"/>
  <c r="X411" i="5"/>
  <c r="V412" i="5"/>
  <c r="E412" i="5"/>
  <c r="X412" i="5"/>
  <c r="V413" i="5"/>
  <c r="E413" i="5"/>
  <c r="X413" i="5"/>
  <c r="V414" i="5"/>
  <c r="V415" i="5"/>
  <c r="V416" i="5"/>
  <c r="V417" i="5"/>
  <c r="E417" i="5"/>
  <c r="X417" i="5"/>
  <c r="V418" i="5"/>
  <c r="E418" i="5"/>
  <c r="X418" i="5"/>
  <c r="V419" i="5"/>
  <c r="E419" i="5"/>
  <c r="X419" i="5"/>
  <c r="V420" i="5"/>
  <c r="E420" i="5"/>
  <c r="X420" i="5"/>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c r="V453" i="5"/>
  <c r="E453" i="5"/>
  <c r="X453" i="5"/>
  <c r="V454" i="5"/>
  <c r="E454" i="5"/>
  <c r="X454" i="5"/>
  <c r="V455" i="5"/>
  <c r="E455" i="5"/>
  <c r="X455" i="5"/>
  <c r="V456" i="5"/>
  <c r="E456" i="5"/>
  <c r="X456" i="5"/>
  <c r="V457" i="5"/>
  <c r="E457" i="5"/>
  <c r="X457" i="5"/>
  <c r="V458" i="5"/>
  <c r="E458" i="5"/>
  <c r="X458" i="5"/>
  <c r="V459" i="5"/>
  <c r="V460" i="5"/>
  <c r="E460" i="5"/>
  <c r="X460" i="5"/>
  <c r="V461" i="5"/>
  <c r="V462" i="5"/>
  <c r="E462" i="5"/>
  <c r="X462" i="5"/>
  <c r="V463" i="5"/>
  <c r="V464" i="5"/>
  <c r="E464" i="5"/>
  <c r="X464" i="5"/>
  <c r="V465" i="5"/>
  <c r="E465" i="5"/>
  <c r="X465" i="5"/>
  <c r="V466" i="5"/>
  <c r="E466" i="5"/>
  <c r="X466" i="5"/>
  <c r="V467" i="5"/>
  <c r="E467" i="5"/>
  <c r="X467" i="5"/>
  <c r="V468" i="5"/>
  <c r="E468" i="5"/>
  <c r="X468" i="5"/>
  <c r="V469" i="5"/>
  <c r="E469" i="5"/>
  <c r="X469" i="5"/>
  <c r="V470" i="5"/>
  <c r="V471" i="5"/>
  <c r="V472" i="5"/>
  <c r="V473" i="5"/>
  <c r="E473" i="5"/>
  <c r="X473" i="5"/>
  <c r="V474" i="5"/>
  <c r="E474" i="5"/>
  <c r="X474" i="5"/>
  <c r="V475" i="5"/>
  <c r="E475" i="5"/>
  <c r="X475" i="5"/>
  <c r="V476" i="5"/>
  <c r="V477" i="5"/>
  <c r="E477" i="5"/>
  <c r="X477" i="5"/>
  <c r="V478" i="5"/>
  <c r="V479" i="5"/>
  <c r="V480" i="5"/>
  <c r="V481" i="5"/>
  <c r="E481" i="5"/>
  <c r="X481" i="5"/>
  <c r="V482" i="5"/>
  <c r="E482" i="5"/>
  <c r="X482" i="5"/>
  <c r="V483" i="5"/>
  <c r="E483" i="5"/>
  <c r="X483" i="5"/>
  <c r="V484" i="5"/>
  <c r="E484" i="5"/>
  <c r="X484" i="5"/>
  <c r="V485" i="5"/>
  <c r="V486" i="5"/>
  <c r="E486" i="5"/>
  <c r="X486" i="5"/>
  <c r="V487" i="5"/>
  <c r="E487" i="5"/>
  <c r="X487" i="5"/>
  <c r="V488" i="5"/>
  <c r="E488" i="5"/>
  <c r="X488" i="5"/>
  <c r="V489" i="5"/>
  <c r="E489" i="5"/>
  <c r="X489" i="5"/>
  <c r="V490" i="5"/>
  <c r="E490" i="5"/>
  <c r="X490" i="5"/>
  <c r="V491" i="5"/>
  <c r="E491" i="5"/>
  <c r="X491" i="5"/>
  <c r="V492" i="5"/>
  <c r="E492" i="5"/>
  <c r="X492" i="5"/>
  <c r="V493" i="5"/>
  <c r="E493" i="5"/>
  <c r="X493" i="5"/>
  <c r="V494" i="5"/>
  <c r="V495" i="5"/>
  <c r="E495" i="5"/>
  <c r="X495" i="5"/>
  <c r="V496" i="5"/>
  <c r="E496" i="5"/>
  <c r="X496" i="5"/>
  <c r="V497" i="5"/>
  <c r="E497" i="5"/>
  <c r="X497" i="5"/>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c r="V527" i="5"/>
  <c r="E527" i="5"/>
  <c r="X527" i="5"/>
  <c r="V528" i="5"/>
  <c r="E528" i="5"/>
  <c r="X528" i="5"/>
  <c r="V529" i="5"/>
  <c r="E529" i="5"/>
  <c r="X529" i="5"/>
  <c r="V530" i="5"/>
  <c r="E530" i="5"/>
  <c r="X530" i="5"/>
  <c r="V531" i="5"/>
  <c r="E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c r="V604" i="5"/>
  <c r="V605" i="5"/>
  <c r="E605" i="5"/>
  <c r="X605" i="5"/>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c r="V674" i="5"/>
  <c r="V675" i="5"/>
  <c r="E675" i="5"/>
  <c r="X675" i="5"/>
  <c r="V676" i="5"/>
  <c r="V677" i="5"/>
  <c r="E677" i="5"/>
  <c r="X677" i="5"/>
  <c r="V678" i="5"/>
  <c r="V679" i="5"/>
  <c r="E679" i="5"/>
  <c r="X679" i="5"/>
  <c r="V680" i="5"/>
  <c r="V681" i="5"/>
  <c r="V682" i="5"/>
  <c r="V683" i="5"/>
  <c r="V684" i="5"/>
  <c r="E684" i="5"/>
  <c r="X684" i="5"/>
  <c r="V685" i="5"/>
  <c r="V686" i="5"/>
  <c r="V687" i="5"/>
  <c r="E687" i="5"/>
  <c r="X687" i="5"/>
  <c r="V688" i="5"/>
  <c r="E688" i="5"/>
  <c r="X688" i="5"/>
  <c r="V689" i="5"/>
  <c r="V690" i="5"/>
  <c r="V691" i="5"/>
  <c r="V692" i="5"/>
  <c r="V693" i="5"/>
  <c r="V694" i="5"/>
  <c r="V695" i="5"/>
  <c r="E695" i="5"/>
  <c r="X695" i="5"/>
  <c r="V696" i="5"/>
  <c r="V697" i="5"/>
  <c r="V698" i="5"/>
  <c r="V699" i="5"/>
  <c r="V700" i="5"/>
  <c r="V701" i="5"/>
  <c r="V702" i="5"/>
  <c r="V703" i="5"/>
  <c r="E703" i="5"/>
  <c r="X703" i="5"/>
  <c r="V704" i="5"/>
  <c r="V705" i="5"/>
  <c r="V706" i="5"/>
  <c r="E706" i="5"/>
  <c r="X706" i="5"/>
  <c r="V707" i="5"/>
  <c r="V708" i="5"/>
  <c r="E708" i="5"/>
  <c r="X708" i="5"/>
  <c r="V709" i="5"/>
  <c r="V710" i="5"/>
  <c r="V711" i="5"/>
  <c r="V712" i="5"/>
  <c r="V713" i="5"/>
  <c r="V714" i="5"/>
  <c r="V715" i="5"/>
  <c r="V716" i="5"/>
  <c r="V717" i="5"/>
  <c r="E717" i="5"/>
  <c r="X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E817" i="5"/>
  <c r="X817" i="5"/>
  <c r="V818" i="5"/>
  <c r="E818" i="5"/>
  <c r="X818" i="5"/>
  <c r="V819" i="5"/>
  <c r="V820" i="5"/>
  <c r="V821" i="5"/>
  <c r="V822" i="5"/>
  <c r="E822" i="5"/>
  <c r="X822" i="5"/>
  <c r="V823" i="5"/>
  <c r="E823" i="5"/>
  <c r="X823" i="5"/>
  <c r="V824" i="5"/>
  <c r="V825" i="5"/>
  <c r="V826" i="5"/>
  <c r="E826" i="5"/>
  <c r="X826" i="5"/>
  <c r="V827" i="5"/>
  <c r="V828" i="5"/>
  <c r="V829" i="5"/>
  <c r="V830" i="5"/>
  <c r="V831" i="5"/>
  <c r="V832" i="5"/>
  <c r="V833" i="5"/>
  <c r="E833" i="5"/>
  <c r="X833" i="5"/>
  <c r="V834" i="5"/>
  <c r="V835" i="5"/>
  <c r="V836" i="5"/>
  <c r="E836" i="5"/>
  <c r="X836" i="5"/>
  <c r="V837" i="5"/>
  <c r="E837" i="5"/>
  <c r="X837" i="5"/>
  <c r="V838" i="5"/>
  <c r="V839" i="5"/>
  <c r="E839" i="5"/>
  <c r="X839" i="5"/>
  <c r="V840" i="5"/>
  <c r="E840" i="5"/>
  <c r="X840" i="5"/>
  <c r="V841" i="5"/>
  <c r="E841" i="5"/>
  <c r="X841" i="5"/>
  <c r="V842" i="5"/>
  <c r="V843" i="5"/>
  <c r="V844" i="5"/>
  <c r="V845" i="5"/>
  <c r="E845" i="5"/>
  <c r="X845" i="5"/>
  <c r="V846" i="5"/>
  <c r="V847" i="5"/>
  <c r="E847" i="5"/>
  <c r="X847" i="5"/>
  <c r="V848" i="5"/>
  <c r="V849" i="5"/>
  <c r="V850" i="5"/>
  <c r="V851" i="5"/>
  <c r="V852" i="5"/>
  <c r="V853" i="5"/>
  <c r="E853" i="5"/>
  <c r="X853" i="5"/>
  <c r="V854" i="5"/>
  <c r="E854" i="5"/>
  <c r="X854" i="5"/>
  <c r="V855" i="5"/>
  <c r="V856" i="5"/>
  <c r="V857" i="5"/>
  <c r="V858" i="5"/>
  <c r="E858" i="5"/>
  <c r="X858" i="5"/>
  <c r="V859" i="5"/>
  <c r="E859" i="5"/>
  <c r="X859" i="5"/>
  <c r="V860" i="5"/>
  <c r="V861" i="5"/>
  <c r="V862" i="5"/>
  <c r="V863" i="5"/>
  <c r="E863" i="5"/>
  <c r="X863" i="5"/>
  <c r="V864" i="5"/>
  <c r="V865" i="5"/>
  <c r="V866" i="5"/>
  <c r="E866" i="5"/>
  <c r="X866" i="5"/>
  <c r="V867" i="5"/>
  <c r="V868" i="5"/>
  <c r="E868" i="5"/>
  <c r="X868" i="5"/>
  <c r="V869" i="5"/>
  <c r="V870" i="5"/>
  <c r="E870" i="5"/>
  <c r="X870" i="5"/>
  <c r="V871" i="5"/>
  <c r="E871" i="5"/>
  <c r="X871" i="5"/>
  <c r="V872" i="5"/>
  <c r="V873" i="5"/>
  <c r="V874" i="5"/>
  <c r="E874" i="5"/>
  <c r="X874" i="5"/>
  <c r="V875" i="5"/>
  <c r="E875" i="5"/>
  <c r="X875" i="5"/>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c r="V917" i="5"/>
  <c r="V918" i="5"/>
  <c r="E918" i="5"/>
  <c r="X918" i="5"/>
  <c r="V919" i="5"/>
  <c r="V920" i="5"/>
  <c r="V921" i="5"/>
  <c r="V922" i="5"/>
  <c r="V923" i="5"/>
  <c r="E923" i="5"/>
  <c r="X923" i="5"/>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c r="V981" i="5"/>
  <c r="V982" i="5"/>
  <c r="V983" i="5"/>
  <c r="E983" i="5"/>
  <c r="X983" i="5"/>
  <c r="V984" i="5"/>
  <c r="E984" i="5"/>
  <c r="X984" i="5"/>
  <c r="V985" i="5"/>
  <c r="E985" i="5"/>
  <c r="X985" i="5"/>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c r="V1005" i="5"/>
  <c r="V1006" i="5"/>
  <c r="V1007" i="5"/>
  <c r="V1008" i="5"/>
  <c r="E1008" i="5"/>
  <c r="X1008" i="5"/>
  <c r="V1009" i="5"/>
  <c r="V1010" i="5"/>
  <c r="V1011" i="5"/>
  <c r="V1012" i="5"/>
  <c r="E1012" i="5"/>
  <c r="X1012" i="5"/>
  <c r="V1013" i="5"/>
  <c r="V1014" i="5"/>
  <c r="V1015" i="5"/>
  <c r="E1015" i="5"/>
  <c r="X1015"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G64" i="6" a="1"/>
  <c r="G64"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492"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c r="B28" i="4"/>
  <c r="B40" i="4"/>
  <c r="F4" i="5"/>
  <c r="A2" i="2"/>
  <c r="A19" i="2"/>
  <c r="A37" i="2"/>
  <c r="A54" i="2"/>
  <c r="A72" i="2"/>
  <c r="C8" i="3"/>
  <c r="C16" i="3"/>
  <c r="C24" i="3"/>
  <c r="D2" i="4"/>
  <c r="B17" i="4"/>
  <c r="A9" i="6"/>
  <c r="H4" i="5"/>
  <c r="J14" i="6"/>
  <c r="I14" i="6"/>
  <c r="C14" i="6"/>
  <c r="J15" i="6"/>
  <c r="J16" i="6"/>
  <c r="J17" i="6"/>
  <c r="I17" i="6"/>
  <c r="C17" i="6"/>
  <c r="J25" i="6"/>
  <c r="B25" i="6"/>
  <c r="G25" i="6"/>
  <c r="H25" i="6"/>
  <c r="I25" i="6"/>
  <c r="C25" i="6"/>
  <c r="I26" i="6"/>
  <c r="J37" i="6"/>
  <c r="F37" i="6"/>
  <c r="B37" i="6"/>
  <c r="G37" i="6"/>
  <c r="H37" i="6"/>
  <c r="I37" i="6"/>
  <c r="C37" i="6"/>
  <c r="J45" i="6"/>
  <c r="F45" i="6"/>
  <c r="B45" i="6"/>
  <c r="G45" i="6"/>
  <c r="H45" i="6"/>
  <c r="I45" i="6"/>
  <c r="C45" i="6"/>
  <c r="I46" i="6"/>
  <c r="I54" i="6"/>
  <c r="J63" i="6"/>
  <c r="F24" i="6"/>
  <c r="F26" i="6"/>
  <c r="F54" i="6"/>
  <c r="F63" i="6"/>
  <c r="H63" i="6"/>
  <c r="I63" i="6"/>
  <c r="C63" i="6"/>
  <c r="J64" i="6"/>
  <c r="J66" i="6"/>
  <c r="I67" i="6"/>
  <c r="A1" i="8"/>
  <c r="I19" i="6"/>
  <c r="J26" i="6"/>
  <c r="B26" i="6"/>
  <c r="G26" i="6"/>
  <c r="H26" i="6"/>
  <c r="C26" i="6"/>
  <c r="I27" i="6"/>
  <c r="I39" i="6"/>
  <c r="J46" i="6"/>
  <c r="F46" i="6"/>
  <c r="B46" i="6"/>
  <c r="G46" i="6"/>
  <c r="H46" i="6"/>
  <c r="C46" i="6"/>
  <c r="I47" i="6"/>
  <c r="J54" i="6"/>
  <c r="H54" i="6"/>
  <c r="C54" i="6"/>
  <c r="I55" i="6"/>
  <c r="I56" i="6"/>
  <c r="F55" i="6"/>
  <c r="F56" i="6"/>
  <c r="H56" i="6"/>
  <c r="C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c r="A3" i="6"/>
  <c r="J19" i="6"/>
  <c r="G19" i="6"/>
  <c r="H19" i="6"/>
  <c r="C19" i="6"/>
  <c r="I20" i="6"/>
  <c r="J27" i="6"/>
  <c r="B27" i="6"/>
  <c r="G27" i="6"/>
  <c r="H27" i="6"/>
  <c r="C27" i="6"/>
  <c r="I29" i="6"/>
  <c r="I30" i="6"/>
  <c r="I31" i="6"/>
  <c r="I32" i="6"/>
  <c r="J39" i="6"/>
  <c r="F39" i="6"/>
  <c r="B39" i="6"/>
  <c r="G39" i="6"/>
  <c r="H39" i="6"/>
  <c r="C39" i="6"/>
  <c r="I40" i="6"/>
  <c r="J47" i="6"/>
  <c r="F47" i="6"/>
  <c r="B47" i="6"/>
  <c r="G47" i="6"/>
  <c r="H47" i="6"/>
  <c r="C47" i="6"/>
  <c r="J55" i="6"/>
  <c r="H55" i="6"/>
  <c r="C55" i="6"/>
  <c r="J56" i="6"/>
  <c r="I57" i="6"/>
  <c r="L66" i="6"/>
  <c r="J68" i="6"/>
  <c r="B4" i="8"/>
  <c r="A6" i="2"/>
  <c r="A14" i="2"/>
  <c r="A31" i="2"/>
  <c r="A57" i="2"/>
  <c r="B18" i="3"/>
  <c r="A7" i="2"/>
  <c r="A24" i="2"/>
  <c r="A41" i="2"/>
  <c r="A58" i="2"/>
  <c r="C2" i="3"/>
  <c r="C10" i="3"/>
  <c r="C18" i="3"/>
  <c r="C26" i="3"/>
  <c r="B13" i="4"/>
  <c r="B21" i="4"/>
  <c r="B38"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G20" i="6"/>
  <c r="H20" i="6"/>
  <c r="C20" i="6"/>
  <c r="I21" i="6"/>
  <c r="J29" i="6"/>
  <c r="F29" i="6"/>
  <c r="B29" i="6"/>
  <c r="G29" i="6"/>
  <c r="H29" i="6"/>
  <c r="C29" i="6"/>
  <c r="J30" i="6"/>
  <c r="F30" i="6"/>
  <c r="B30" i="6"/>
  <c r="G30" i="6"/>
  <c r="H30" i="6"/>
  <c r="C30" i="6"/>
  <c r="J31" i="6"/>
  <c r="F31" i="6"/>
  <c r="B31" i="6"/>
  <c r="G31" i="6"/>
  <c r="H31" i="6"/>
  <c r="C31" i="6"/>
  <c r="J32" i="6"/>
  <c r="F32" i="6"/>
  <c r="B32" i="6"/>
  <c r="G32" i="6"/>
  <c r="H32" i="6"/>
  <c r="C32" i="6"/>
  <c r="J40" i="6"/>
  <c r="F40" i="6"/>
  <c r="B40" i="6"/>
  <c r="G40" i="6"/>
  <c r="H40" i="6"/>
  <c r="C40" i="6"/>
  <c r="I41" i="6"/>
  <c r="I49" i="6"/>
  <c r="J57" i="6"/>
  <c r="F57" i="6"/>
  <c r="H57" i="6"/>
  <c r="C57" i="6"/>
  <c r="I58" i="6"/>
  <c r="L67" i="6"/>
  <c r="A1" i="7"/>
  <c r="D4" i="8"/>
  <c r="C3" i="6"/>
  <c r="I4" i="6"/>
  <c r="I5" i="6"/>
  <c r="J21" i="6"/>
  <c r="G21" i="6"/>
  <c r="H21" i="6"/>
  <c r="C21" i="6"/>
  <c r="I22" i="6"/>
  <c r="I34" i="6"/>
  <c r="J41" i="6"/>
  <c r="F41" i="6"/>
  <c r="B41" i="6"/>
  <c r="G41" i="6"/>
  <c r="H41" i="6"/>
  <c r="C41" i="6"/>
  <c r="I42" i="6"/>
  <c r="J49" i="6"/>
  <c r="F49" i="6"/>
  <c r="B49" i="6"/>
  <c r="G49" i="6"/>
  <c r="H49" i="6"/>
  <c r="C49" i="6"/>
  <c r="I50" i="6"/>
  <c r="J58" i="6"/>
  <c r="F58" i="6"/>
  <c r="H58" i="6"/>
  <c r="C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C4" i="6"/>
  <c r="J5" i="6"/>
  <c r="C5" i="6"/>
  <c r="I6" i="6"/>
  <c r="I7" i="6"/>
  <c r="I8" i="6"/>
  <c r="I9" i="6"/>
  <c r="I10" i="6"/>
  <c r="I11" i="6"/>
  <c r="I12" i="6"/>
  <c r="J22" i="6"/>
  <c r="G22" i="6"/>
  <c r="H22" i="6"/>
  <c r="C22" i="6"/>
  <c r="J34" i="6"/>
  <c r="F34" i="6"/>
  <c r="B34" i="6"/>
  <c r="G34" i="6"/>
  <c r="H34" i="6"/>
  <c r="C34" i="6"/>
  <c r="I35" i="6"/>
  <c r="J42" i="6"/>
  <c r="F42" i="6"/>
  <c r="B42" i="6"/>
  <c r="G42" i="6"/>
  <c r="H42" i="6"/>
  <c r="C42" i="6"/>
  <c r="J50" i="6"/>
  <c r="F50" i="6"/>
  <c r="B50" i="6"/>
  <c r="G50" i="6"/>
  <c r="H50" i="6"/>
  <c r="C50" i="6"/>
  <c r="I51" i="6"/>
  <c r="J59" i="6"/>
  <c r="F59" i="6"/>
  <c r="H59" i="6"/>
  <c r="C59" i="6"/>
  <c r="I60" i="6"/>
  <c r="C5" i="7"/>
  <c r="D1" i="6"/>
  <c r="J6" i="6"/>
  <c r="J7" i="6"/>
  <c r="C7" i="6"/>
  <c r="J8" i="6"/>
  <c r="C8" i="6"/>
  <c r="J9" i="6"/>
  <c r="C9" i="6"/>
  <c r="J10" i="6"/>
  <c r="C10" i="6"/>
  <c r="J11" i="6"/>
  <c r="C11" i="6"/>
  <c r="J12" i="6"/>
  <c r="C12" i="6"/>
  <c r="I24" i="6"/>
  <c r="J35" i="6"/>
  <c r="F35" i="6"/>
  <c r="B35" i="6"/>
  <c r="G35" i="6"/>
  <c r="H35" i="6"/>
  <c r="C35" i="6"/>
  <c r="I36" i="6"/>
  <c r="I44" i="6"/>
  <c r="J51" i="6"/>
  <c r="F51" i="6"/>
  <c r="H51" i="6"/>
  <c r="C51" i="6"/>
  <c r="I52" i="6"/>
  <c r="J60" i="6"/>
  <c r="F60" i="6"/>
  <c r="H60" i="6"/>
  <c r="C60" i="6"/>
  <c r="I62" i="6"/>
  <c r="I65" i="6"/>
  <c r="F5" i="7"/>
  <c r="B10" i="4"/>
  <c r="A6" i="6"/>
  <c r="B18" i="4"/>
  <c r="A10" i="6"/>
  <c r="G25" i="4"/>
  <c r="B44" i="4"/>
  <c r="A29" i="6"/>
  <c r="B49" i="4"/>
  <c r="A33" i="6"/>
  <c r="B85" i="4"/>
  <c r="A60" i="6"/>
  <c r="A4" i="5"/>
  <c r="I4" i="5"/>
  <c r="I15" i="6"/>
  <c r="I16" i="6"/>
  <c r="J24" i="6"/>
  <c r="B24" i="6"/>
  <c r="G24" i="6"/>
  <c r="H24" i="6"/>
  <c r="C24" i="6"/>
  <c r="J36" i="6"/>
  <c r="F36" i="6"/>
  <c r="B36" i="6"/>
  <c r="G36" i="6"/>
  <c r="H36" i="6"/>
  <c r="C36" i="6"/>
  <c r="J44" i="6"/>
  <c r="F44" i="6"/>
  <c r="B44" i="6"/>
  <c r="G44" i="6"/>
  <c r="H44" i="6"/>
  <c r="C44" i="6"/>
  <c r="J52" i="6"/>
  <c r="F52" i="6"/>
  <c r="B52" i="6"/>
  <c r="G52" i="6"/>
  <c r="H52" i="6"/>
  <c r="C52" i="6"/>
  <c r="J62" i="6"/>
  <c r="F62" i="6"/>
  <c r="H62" i="6"/>
  <c r="C62" i="6"/>
  <c r="I64" i="6"/>
  <c r="J65" i="6"/>
  <c r="I66" i="6"/>
  <c r="B61" i="1"/>
  <c r="F4" i="8"/>
  <c r="H4" i="8"/>
  <c r="I4" i="8"/>
  <c r="C4" i="8"/>
  <c r="S94" i="5"/>
  <c r="S150" i="5"/>
  <c r="S491" i="5"/>
  <c r="S511" i="5"/>
  <c r="S147" i="5"/>
  <c r="S193" i="5"/>
  <c r="S203" i="5"/>
  <c r="S85" i="5"/>
  <c r="S167" i="5"/>
  <c r="S247" i="5"/>
  <c r="S344" i="5"/>
  <c r="S397" i="5"/>
  <c r="S401" i="5"/>
  <c r="S409" i="5"/>
  <c r="S372" i="5"/>
  <c r="S437" i="5"/>
  <c r="S428" i="5"/>
  <c r="S452" i="5"/>
  <c r="S548" i="5"/>
  <c r="S377" i="5"/>
  <c r="S349" i="5"/>
  <c r="S539" i="5"/>
  <c r="S169" i="5"/>
  <c r="S53" i="5"/>
  <c r="S61" i="5"/>
  <c r="S123" i="5"/>
  <c r="S177" i="5"/>
  <c r="S361" i="5"/>
  <c r="S77" i="5"/>
  <c r="S97" i="5"/>
  <c r="S219" i="5"/>
  <c r="S295" i="5"/>
  <c r="S417" i="5"/>
  <c r="S432" i="5"/>
  <c r="S560" i="5"/>
  <c r="S510" i="5"/>
  <c r="S106" i="5"/>
  <c r="S341" i="5"/>
  <c r="S47" i="5"/>
  <c r="S55" i="5"/>
  <c r="S83" i="5"/>
  <c r="S95" i="5"/>
  <c r="S161" i="5"/>
  <c r="S171" i="5"/>
  <c r="S45" i="5"/>
  <c r="S113" i="5"/>
  <c r="S145" i="5"/>
  <c r="S135" i="5"/>
  <c r="S267" i="5"/>
  <c r="S275" i="5"/>
  <c r="S388" i="5"/>
  <c r="S429" i="5"/>
  <c r="S449" i="5"/>
  <c r="S457" i="5"/>
  <c r="S436" i="5"/>
  <c r="S190" i="5"/>
  <c r="S229" i="5"/>
  <c r="S237" i="5"/>
  <c r="S225" i="5"/>
  <c r="S179" i="5"/>
  <c r="S105" i="5"/>
  <c r="S137" i="5"/>
  <c r="S159" i="5"/>
  <c r="S75" i="5"/>
  <c r="S119" i="5"/>
  <c r="S183" i="5"/>
  <c r="S131" i="5"/>
  <c r="S195" i="5"/>
  <c r="S65" i="5"/>
  <c r="S223" i="5"/>
  <c r="S259" i="5"/>
  <c r="S416" i="5"/>
  <c r="S441" i="5"/>
  <c r="S572" i="5"/>
  <c r="S440" i="5"/>
  <c r="S568" i="5"/>
  <c r="S468" i="5"/>
  <c r="S257" i="5"/>
  <c r="S543" i="5"/>
  <c r="S127" i="5"/>
  <c r="S129" i="5"/>
  <c r="S408" i="5"/>
  <c r="S111" i="5"/>
  <c r="S197" i="5"/>
  <c r="S187" i="5"/>
  <c r="S199" i="5"/>
  <c r="S352" i="5"/>
  <c r="S299" i="5"/>
  <c r="S389" i="5"/>
  <c r="S302" i="5"/>
  <c r="S404" i="5"/>
  <c r="S421" i="5"/>
  <c r="S464" i="5"/>
  <c r="S552" i="5"/>
  <c r="S586" i="5"/>
  <c r="S269" i="5"/>
  <c r="S479" i="5"/>
  <c r="S67" i="5"/>
  <c r="S143" i="5"/>
  <c r="S175" i="5"/>
  <c r="S57" i="5"/>
  <c r="S69" i="5"/>
  <c r="S89" i="5"/>
  <c r="S155" i="5"/>
  <c r="S49" i="5"/>
  <c r="S157" i="5"/>
  <c r="S364" i="5"/>
  <c r="S304" i="5"/>
  <c r="S392" i="5"/>
  <c r="S348" i="5"/>
  <c r="S433" i="5"/>
  <c r="S444" i="5"/>
  <c r="S584" i="5"/>
  <c r="S51" i="5"/>
  <c r="S59" i="5"/>
  <c r="S99" i="5"/>
  <c r="S81" i="5"/>
  <c r="S235" i="5"/>
  <c r="S271" i="5"/>
  <c r="S291" i="5"/>
  <c r="S396" i="5"/>
  <c r="S400" i="5"/>
  <c r="S405" i="5"/>
  <c r="S413" i="5"/>
  <c r="S453" i="5"/>
  <c r="S420" i="5"/>
  <c r="S448" i="5"/>
  <c r="S210" i="5"/>
  <c r="S7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1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D41" i="6"/>
  <c r="D36" i="6"/>
  <c r="D51" i="6"/>
  <c r="D45" i="6"/>
  <c r="F66" i="6"/>
  <c r="D5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c r="B59" i="4"/>
  <c r="A42" i="6"/>
  <c r="D42" i="6"/>
  <c r="F68" i="6"/>
  <c r="D52" i="6"/>
  <c r="D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c r="K68"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C16" i="6"/>
  <c r="K67" i="6"/>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c r="B52" i="4"/>
  <c r="A36" i="6"/>
  <c r="B58" i="4"/>
  <c r="A41" i="6"/>
  <c r="B64" i="4"/>
  <c r="A46" i="6"/>
  <c r="A14" i="6"/>
  <c r="B32" i="4"/>
  <c r="A19" i="6"/>
  <c r="D15" i="6"/>
  <c r="C15" i="6"/>
  <c r="K66" i="6"/>
  <c r="H984" i="5"/>
  <c r="F984" i="5"/>
  <c r="R984" i="5"/>
  <c r="J984" i="5"/>
  <c r="I984" i="5"/>
  <c r="D44" i="6"/>
  <c r="F65" i="6"/>
  <c r="D39" i="6"/>
  <c r="D35" i="6"/>
  <c r="D40" i="6"/>
  <c r="D46" i="6"/>
  <c r="D29" i="6"/>
  <c r="D49" i="6"/>
  <c r="D19" i="6"/>
  <c r="K65" i="6"/>
  <c r="D24" i="6"/>
  <c r="D27" i="6"/>
  <c r="D20" i="6"/>
  <c r="C2" i="6"/>
  <c r="B2" i="6"/>
  <c r="D25" i="6"/>
  <c r="D26" i="6"/>
  <c r="D21" i="6"/>
  <c r="D22" i="6"/>
  <c r="D47" i="6"/>
  <c r="D34" i="6"/>
  <c r="D31" i="6"/>
  <c r="D30" i="6"/>
  <c r="D32" i="6"/>
  <c r="D60" i="6"/>
  <c r="D58" i="6"/>
  <c r="D63" i="6"/>
  <c r="D62" i="6"/>
  <c r="D54" i="6"/>
  <c r="D57" i="6"/>
  <c r="D59" i="6"/>
  <c r="D55" i="6"/>
  <c r="D56" i="6"/>
  <c r="I27" i="5"/>
  <c r="X27" i="5"/>
  <c r="F43" i="5"/>
  <c r="X43" i="5"/>
  <c r="H87" i="5"/>
  <c r="E87" i="5"/>
  <c r="X87" i="5"/>
  <c r="F103" i="5"/>
  <c r="E103" i="5"/>
  <c r="X103" i="5"/>
  <c r="I175" i="5"/>
  <c r="E175" i="5"/>
  <c r="X175" i="5"/>
  <c r="I19" i="5"/>
  <c r="X19" i="5"/>
  <c r="H115" i="5"/>
  <c r="E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H7" i="5"/>
  <c r="E7" i="5"/>
  <c r="X7" i="5"/>
  <c r="I7" i="5"/>
  <c r="R8" i="5"/>
  <c r="I8" i="5"/>
  <c r="G8" i="5"/>
  <c r="H8" i="5"/>
  <c r="F8" i="5"/>
  <c r="X8" i="5"/>
  <c r="V209" i="5"/>
  <c r="G209" i="5"/>
  <c r="R379" i="5"/>
  <c r="E379" i="5"/>
  <c r="X379" i="5"/>
  <c r="H423" i="5"/>
  <c r="E423" i="5"/>
  <c r="X423" i="5"/>
  <c r="X30" i="5"/>
  <c r="X56" i="5"/>
  <c r="X60" i="5"/>
  <c r="X64" i="5"/>
  <c r="X68" i="5"/>
  <c r="X80" i="5"/>
  <c r="X88" i="5"/>
  <c r="X343" i="5"/>
  <c r="X36" i="5"/>
  <c r="X40" i="5"/>
  <c r="X52" i="5"/>
  <c r="X72" i="5"/>
  <c r="X84" i="5"/>
  <c r="X101" i="5"/>
  <c r="X344" i="5"/>
  <c r="X531" i="5"/>
  <c r="AB19" i="5"/>
  <c r="AB25" i="5"/>
  <c r="AB27" i="5"/>
  <c r="AB28" i="5"/>
  <c r="AB31" i="5"/>
  <c r="AB33" i="5"/>
  <c r="AB35" i="5"/>
  <c r="AB38" i="5"/>
  <c r="AB39" i="5"/>
  <c r="AB41"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F69" i="6"/>
  <c r="C69" i="6"/>
  <c r="G6" i="5"/>
  <c r="R6" i="5"/>
  <c r="F6" i="5"/>
  <c r="I6" i="5"/>
  <c r="H6" i="5"/>
  <c r="X6" i="5"/>
  <c r="H18" i="5"/>
  <c r="F18" i="5"/>
  <c r="R20" i="5"/>
  <c r="F20" i="5"/>
  <c r="H20" i="5"/>
  <c r="I20" i="5"/>
  <c r="F21" i="5"/>
  <c r="R21" i="5"/>
  <c r="H22" i="5"/>
  <c r="F22" i="5"/>
  <c r="F24" i="5"/>
  <c r="H26" i="5"/>
  <c r="F26" i="5"/>
  <c r="H28" i="5"/>
  <c r="R28" i="5"/>
  <c r="F28" i="5"/>
  <c r="I28" i="5"/>
  <c r="R29" i="5"/>
  <c r="F29" i="5"/>
  <c r="F30" i="5"/>
  <c r="H30" i="5"/>
  <c r="F32" i="5"/>
  <c r="F33" i="5"/>
  <c r="H33" i="5"/>
  <c r="F34" i="5"/>
  <c r="R36" i="5"/>
  <c r="I36" i="5"/>
  <c r="F36" i="5"/>
  <c r="H36" i="5"/>
  <c r="F37" i="5"/>
  <c r="H37" i="5"/>
  <c r="F38" i="5"/>
  <c r="R40" i="5"/>
  <c r="F40" i="5"/>
  <c r="H40" i="5"/>
  <c r="I40" i="5"/>
  <c r="F41" i="5"/>
  <c r="H41" i="5"/>
  <c r="F42" i="5"/>
  <c r="R44" i="5"/>
  <c r="I44" i="5"/>
  <c r="F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c r="R331" i="5"/>
  <c r="F331" i="5"/>
  <c r="I331" i="5"/>
  <c r="H331" i="5"/>
  <c r="J331" i="5"/>
  <c r="R351" i="5"/>
  <c r="J351" i="5"/>
  <c r="E351" i="5"/>
  <c r="X351" i="5"/>
  <c r="H351" i="5"/>
  <c r="I351" i="5"/>
  <c r="F351" i="5"/>
  <c r="F352" i="5"/>
  <c r="I352" i="5"/>
  <c r="R352" i="5"/>
  <c r="J352" i="5"/>
  <c r="E352" i="5"/>
  <c r="X352" i="5"/>
  <c r="H352" i="5"/>
  <c r="E371" i="5"/>
  <c r="X371" i="5"/>
  <c r="H371" i="5"/>
  <c r="R371" i="5"/>
  <c r="F371" i="5"/>
  <c r="I371" i="5"/>
  <c r="J371" i="5"/>
  <c r="F383" i="5"/>
  <c r="I383" i="5"/>
  <c r="H383" i="5"/>
  <c r="J383" i="5"/>
  <c r="R383" i="5"/>
  <c r="E383" i="5"/>
  <c r="X383" i="5"/>
  <c r="J384" i="5"/>
  <c r="F384" i="5"/>
  <c r="H384" i="5"/>
  <c r="I384" i="5"/>
  <c r="E384" i="5"/>
  <c r="X384" i="5"/>
  <c r="R384" i="5"/>
  <c r="R407" i="5"/>
  <c r="E407" i="5"/>
  <c r="X407" i="5"/>
  <c r="R463" i="5"/>
  <c r="E463" i="5"/>
  <c r="X463" i="5"/>
  <c r="E470" i="5"/>
  <c r="X470" i="5"/>
  <c r="F470" i="5"/>
  <c r="I470" i="5"/>
  <c r="J470" i="5"/>
  <c r="R470" i="5"/>
  <c r="H470" i="5"/>
  <c r="I472" i="5"/>
  <c r="E472" i="5"/>
  <c r="X472" i="5"/>
  <c r="E494" i="5"/>
  <c r="X494" i="5"/>
  <c r="R494" i="5"/>
  <c r="H494" i="5"/>
  <c r="J494" i="5"/>
  <c r="F494" i="5"/>
  <c r="I494" i="5"/>
  <c r="R562" i="5"/>
  <c r="E562" i="5"/>
  <c r="X562" i="5"/>
  <c r="H738" i="5"/>
  <c r="E738" i="5"/>
  <c r="X738" i="5"/>
  <c r="R774" i="5"/>
  <c r="E774" i="5"/>
  <c r="X774" i="5"/>
  <c r="J942" i="5"/>
  <c r="E942" i="5"/>
  <c r="X942" i="5"/>
  <c r="AB6" i="5"/>
  <c r="S7" i="5"/>
  <c r="AB7" i="5"/>
  <c r="AB8" i="5"/>
  <c r="AB9" i="5"/>
  <c r="AB10" i="5"/>
  <c r="AB11" i="5"/>
  <c r="AB12" i="5"/>
  <c r="AB13" i="5"/>
  <c r="AB14" i="5"/>
  <c r="AB15" i="5"/>
  <c r="AB16" i="5"/>
  <c r="AB17" i="5"/>
  <c r="AB18" i="5"/>
  <c r="AB22" i="5"/>
  <c r="AB24" i="5"/>
  <c r="AB26" i="5"/>
  <c r="AB30" i="5"/>
  <c r="AB32"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c r="G1286" i="5"/>
  <c r="H1286" i="5"/>
  <c r="I1286" i="5"/>
  <c r="J1286" i="5"/>
  <c r="R1286" i="5"/>
  <c r="F1286" i="5"/>
  <c r="E1286" i="5"/>
  <c r="X1286" i="5"/>
  <c r="F1287" i="5"/>
  <c r="R1287" i="5"/>
  <c r="I1287" i="5"/>
  <c r="G1287" i="5"/>
  <c r="H1287" i="5"/>
  <c r="J1287" i="5"/>
  <c r="E1287" i="5"/>
  <c r="X1287" i="5"/>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c r="H1291" i="5"/>
  <c r="R1291" i="5"/>
  <c r="I1291" i="5"/>
  <c r="F1291" i="5"/>
  <c r="J1291" i="5"/>
  <c r="G1291" i="5"/>
  <c r="E1291" i="5"/>
  <c r="X1291" i="5"/>
  <c r="J1292" i="5"/>
  <c r="I1292" i="5"/>
  <c r="G1292" i="5"/>
  <c r="F1292" i="5"/>
  <c r="R1292" i="5"/>
  <c r="H1292" i="5"/>
  <c r="E1292" i="5"/>
  <c r="X1292" i="5"/>
  <c r="G1293" i="5"/>
  <c r="R1293" i="5"/>
  <c r="H1293" i="5"/>
  <c r="I1293" i="5"/>
  <c r="F1293" i="5"/>
  <c r="J1293" i="5"/>
  <c r="E1293" i="5"/>
  <c r="X1293" i="5"/>
  <c r="G1294" i="5"/>
  <c r="H1294" i="5"/>
  <c r="I1294" i="5"/>
  <c r="J1294" i="5"/>
  <c r="R1294" i="5"/>
  <c r="F1294" i="5"/>
  <c r="E1294" i="5"/>
  <c r="X1294" i="5"/>
  <c r="J1295" i="5"/>
  <c r="F1295" i="5"/>
  <c r="I1295" i="5"/>
  <c r="G1295" i="5"/>
  <c r="H1295" i="5"/>
  <c r="R1295" i="5"/>
  <c r="E1295" i="5"/>
  <c r="X1295" i="5"/>
  <c r="G1296" i="5"/>
  <c r="F1296" i="5"/>
  <c r="I1296" i="5"/>
  <c r="J1296" i="5"/>
  <c r="R1296" i="5"/>
  <c r="H1296" i="5"/>
  <c r="E1296" i="5"/>
  <c r="X1296" i="5"/>
  <c r="I1297" i="5"/>
  <c r="G1297" i="5"/>
  <c r="J1297" i="5"/>
  <c r="F1297" i="5"/>
  <c r="H1297" i="5"/>
  <c r="R1297" i="5"/>
  <c r="E1297" i="5"/>
  <c r="X1297" i="5"/>
  <c r="I1298" i="5"/>
  <c r="H1298" i="5"/>
  <c r="J1298" i="5"/>
  <c r="F1298" i="5"/>
  <c r="G1298" i="5"/>
  <c r="R1298" i="5"/>
  <c r="E1298" i="5"/>
  <c r="X1298" i="5"/>
  <c r="J1299" i="5"/>
  <c r="H1299" i="5"/>
  <c r="G1299" i="5"/>
  <c r="F1299" i="5"/>
  <c r="I1299" i="5"/>
  <c r="R1299" i="5"/>
  <c r="E1299" i="5"/>
  <c r="X1299" i="5"/>
  <c r="G1300" i="5"/>
  <c r="F1300" i="5"/>
  <c r="I1300" i="5"/>
  <c r="J1300" i="5"/>
  <c r="R1300" i="5"/>
  <c r="H1300" i="5"/>
  <c r="E1300" i="5"/>
  <c r="X1300" i="5"/>
  <c r="G1301" i="5"/>
  <c r="R1301" i="5"/>
  <c r="H1301" i="5"/>
  <c r="F1301" i="5"/>
  <c r="I1301" i="5"/>
  <c r="J1301" i="5"/>
  <c r="E1301" i="5"/>
  <c r="X1301" i="5"/>
  <c r="G1302" i="5"/>
  <c r="H1302" i="5"/>
  <c r="I1302" i="5"/>
  <c r="J1302" i="5"/>
  <c r="R1302" i="5"/>
  <c r="F1302" i="5"/>
  <c r="E1302" i="5"/>
  <c r="X1302" i="5"/>
  <c r="F1303" i="5"/>
  <c r="I1303" i="5"/>
  <c r="G1303" i="5"/>
  <c r="J1303" i="5"/>
  <c r="H1303" i="5"/>
  <c r="R1303" i="5"/>
  <c r="E1303" i="5"/>
  <c r="X1303" i="5"/>
  <c r="J1304" i="5"/>
  <c r="F1304" i="5"/>
  <c r="R1304" i="5"/>
  <c r="I1304" i="5"/>
  <c r="G1304" i="5"/>
  <c r="H1304" i="5"/>
  <c r="E1304" i="5"/>
  <c r="X1304" i="5"/>
  <c r="G1305" i="5"/>
  <c r="R1305" i="5"/>
  <c r="H1305" i="5"/>
  <c r="I1305" i="5"/>
  <c r="F1305" i="5"/>
  <c r="J1305" i="5"/>
  <c r="E1305" i="5"/>
  <c r="X1305" i="5"/>
  <c r="F1306" i="5"/>
  <c r="H1306" i="5"/>
  <c r="I1306" i="5"/>
  <c r="R1306" i="5"/>
  <c r="G1306" i="5"/>
  <c r="J1306" i="5"/>
  <c r="E1306" i="5"/>
  <c r="X1306" i="5"/>
  <c r="G1307" i="5"/>
  <c r="F1307" i="5"/>
  <c r="J1307" i="5"/>
  <c r="R1307" i="5"/>
  <c r="H1307" i="5"/>
  <c r="I1307" i="5"/>
  <c r="E1307" i="5"/>
  <c r="X1307" i="5"/>
  <c r="R1308" i="5"/>
  <c r="J1308" i="5"/>
  <c r="F1308" i="5"/>
  <c r="I1308" i="5"/>
  <c r="G1308" i="5"/>
  <c r="H1308" i="5"/>
  <c r="E1308" i="5"/>
  <c r="X1308" i="5"/>
  <c r="G1309" i="5"/>
  <c r="I1309" i="5"/>
  <c r="J1309" i="5"/>
  <c r="R1309" i="5"/>
  <c r="H1309" i="5"/>
  <c r="F1309" i="5"/>
  <c r="E1309" i="5"/>
  <c r="X1309" i="5"/>
  <c r="G1310" i="5"/>
  <c r="H1310" i="5"/>
  <c r="I1310" i="5"/>
  <c r="J1310" i="5"/>
  <c r="R1310" i="5"/>
  <c r="F1310" i="5"/>
  <c r="E1310" i="5"/>
  <c r="X1310" i="5"/>
  <c r="F1311" i="5"/>
  <c r="H1311" i="5"/>
  <c r="J1311" i="5"/>
  <c r="G1311" i="5"/>
  <c r="I1311" i="5"/>
  <c r="R1311" i="5"/>
  <c r="E1311" i="5"/>
  <c r="X1311" i="5"/>
  <c r="G1312" i="5"/>
  <c r="F1312" i="5"/>
  <c r="I1312" i="5"/>
  <c r="J1312" i="5"/>
  <c r="R1312" i="5"/>
  <c r="H1312" i="5"/>
  <c r="E1312" i="5"/>
  <c r="X1312" i="5"/>
  <c r="R1313" i="5"/>
  <c r="F1313" i="5"/>
  <c r="I1313" i="5"/>
  <c r="G1313" i="5"/>
  <c r="H1313" i="5"/>
  <c r="J1313" i="5"/>
  <c r="E1313" i="5"/>
  <c r="X1313" i="5"/>
  <c r="I1314" i="5"/>
  <c r="F1314" i="5"/>
  <c r="H1314" i="5"/>
  <c r="G1314" i="5"/>
  <c r="J1314" i="5"/>
  <c r="R1314" i="5"/>
  <c r="E1314" i="5"/>
  <c r="X1314" i="5"/>
  <c r="R1315" i="5"/>
  <c r="H1315" i="5"/>
  <c r="G1315" i="5"/>
  <c r="F1315" i="5"/>
  <c r="I1315" i="5"/>
  <c r="J1315" i="5"/>
  <c r="E1315" i="5"/>
  <c r="X1315" i="5"/>
  <c r="G1316" i="5"/>
  <c r="F1316" i="5"/>
  <c r="I1316" i="5"/>
  <c r="J1316" i="5"/>
  <c r="R1316" i="5"/>
  <c r="H1316" i="5"/>
  <c r="E1316" i="5"/>
  <c r="X1316" i="5"/>
  <c r="G1317" i="5"/>
  <c r="J1317" i="5"/>
  <c r="R1317" i="5"/>
  <c r="F1317" i="5"/>
  <c r="I1317" i="5"/>
  <c r="H1317" i="5"/>
  <c r="E1317" i="5"/>
  <c r="X1317" i="5"/>
  <c r="G1318" i="5"/>
  <c r="H1318" i="5"/>
  <c r="I1318" i="5"/>
  <c r="J1318" i="5"/>
  <c r="R1318" i="5"/>
  <c r="F1318" i="5"/>
  <c r="E1318" i="5"/>
  <c r="X1318" i="5"/>
  <c r="J1319" i="5"/>
  <c r="R1319" i="5"/>
  <c r="I1319" i="5"/>
  <c r="G1319" i="5"/>
  <c r="F1319" i="5"/>
  <c r="H1319" i="5"/>
  <c r="E1319" i="5"/>
  <c r="X1319" i="5"/>
  <c r="F1320" i="5"/>
  <c r="G1320" i="5"/>
  <c r="R1320" i="5"/>
  <c r="I1320" i="5"/>
  <c r="J1320" i="5"/>
  <c r="H1320" i="5"/>
  <c r="E1320" i="5"/>
  <c r="X1320" i="5"/>
  <c r="G1321" i="5"/>
  <c r="R1321" i="5"/>
  <c r="H1321" i="5"/>
  <c r="F1321" i="5"/>
  <c r="I1321" i="5"/>
  <c r="J1321" i="5"/>
  <c r="E1321" i="5"/>
  <c r="X1321" i="5"/>
  <c r="I1322" i="5"/>
  <c r="R1322" i="5"/>
  <c r="G1322" i="5"/>
  <c r="J1322" i="5"/>
  <c r="F1322" i="5"/>
  <c r="H1322" i="5"/>
  <c r="E1322" i="5"/>
  <c r="X1322" i="5"/>
  <c r="H1323" i="5"/>
  <c r="J1323" i="5"/>
  <c r="G1323" i="5"/>
  <c r="R1323" i="5"/>
  <c r="I1323" i="5"/>
  <c r="F1323" i="5"/>
  <c r="E1323" i="5"/>
  <c r="X1323" i="5"/>
  <c r="G1324" i="5"/>
  <c r="F1324" i="5"/>
  <c r="I1324" i="5"/>
  <c r="J1324" i="5"/>
  <c r="R1324" i="5"/>
  <c r="H1324" i="5"/>
  <c r="E1324" i="5"/>
  <c r="X1324" i="5"/>
  <c r="R1325" i="5"/>
  <c r="I1325" i="5"/>
  <c r="J1325" i="5"/>
  <c r="F1325" i="5"/>
  <c r="H1325" i="5"/>
  <c r="G1325" i="5"/>
  <c r="E1325" i="5"/>
  <c r="X1325" i="5"/>
  <c r="G1326" i="5"/>
  <c r="H1326" i="5"/>
  <c r="I1326" i="5"/>
  <c r="J1326" i="5"/>
  <c r="R1326" i="5"/>
  <c r="F1326" i="5"/>
  <c r="E1326" i="5"/>
  <c r="X1326" i="5"/>
  <c r="H1327" i="5"/>
  <c r="J1327" i="5"/>
  <c r="G1327" i="5"/>
  <c r="R1327" i="5"/>
  <c r="F1327" i="5"/>
  <c r="I1327" i="5"/>
  <c r="E1327" i="5"/>
  <c r="X1327" i="5"/>
  <c r="G1328" i="5"/>
  <c r="F1328" i="5"/>
  <c r="I1328" i="5"/>
  <c r="J1328" i="5"/>
  <c r="R1328" i="5"/>
  <c r="H1328" i="5"/>
  <c r="E1328" i="5"/>
  <c r="X1328" i="5"/>
  <c r="I1329" i="5"/>
  <c r="F1329" i="5"/>
  <c r="J1329" i="5"/>
  <c r="R1329" i="5"/>
  <c r="G1329" i="5"/>
  <c r="H1329" i="5"/>
  <c r="E1329" i="5"/>
  <c r="X1329" i="5"/>
  <c r="H1330" i="5"/>
  <c r="G1330" i="5"/>
  <c r="J1330" i="5"/>
  <c r="F1330" i="5"/>
  <c r="R1330" i="5"/>
  <c r="I1330" i="5"/>
  <c r="E1330" i="5"/>
  <c r="X1330" i="5"/>
  <c r="R1331" i="5"/>
  <c r="H1331" i="5"/>
  <c r="G1331" i="5"/>
  <c r="I1331" i="5"/>
  <c r="F1331" i="5"/>
  <c r="J1331" i="5"/>
  <c r="E1331" i="5"/>
  <c r="X1331" i="5"/>
  <c r="G1332" i="5"/>
  <c r="F1332" i="5"/>
  <c r="I1332" i="5"/>
  <c r="J1332" i="5"/>
  <c r="R1332" i="5"/>
  <c r="H1332" i="5"/>
  <c r="E1332" i="5"/>
  <c r="X1332" i="5"/>
  <c r="G1333" i="5"/>
  <c r="R1333" i="5"/>
  <c r="H1333" i="5"/>
  <c r="F1333" i="5"/>
  <c r="I1333" i="5"/>
  <c r="J1333" i="5"/>
  <c r="E1333" i="5"/>
  <c r="X1333" i="5"/>
  <c r="G1334" i="5"/>
  <c r="H1334" i="5"/>
  <c r="I1334" i="5"/>
  <c r="J1334" i="5"/>
  <c r="R1334" i="5"/>
  <c r="F1334" i="5"/>
  <c r="E1334" i="5"/>
  <c r="X1334" i="5"/>
  <c r="H1335" i="5"/>
  <c r="I1335" i="5"/>
  <c r="G1335" i="5"/>
  <c r="F1335" i="5"/>
  <c r="J1335" i="5"/>
  <c r="R1335" i="5"/>
  <c r="E1335" i="5"/>
  <c r="X1335" i="5"/>
  <c r="G1336" i="5"/>
  <c r="F1336" i="5"/>
  <c r="I1336" i="5"/>
  <c r="J1336" i="5"/>
  <c r="R1336" i="5"/>
  <c r="H1336" i="5"/>
  <c r="E1336" i="5"/>
  <c r="X1336" i="5"/>
  <c r="G1337" i="5"/>
  <c r="R1337" i="5"/>
  <c r="J1337" i="5"/>
  <c r="F1337" i="5"/>
  <c r="H1337" i="5"/>
  <c r="I1337" i="5"/>
  <c r="E1337" i="5"/>
  <c r="X1337" i="5"/>
  <c r="H1338" i="5"/>
  <c r="F1338" i="5"/>
  <c r="I1338" i="5"/>
  <c r="G1338" i="5"/>
  <c r="R1338" i="5"/>
  <c r="J1338" i="5"/>
  <c r="E1338" i="5"/>
  <c r="X1338" i="5"/>
  <c r="H1339" i="5"/>
  <c r="I1339" i="5"/>
  <c r="J1339" i="5"/>
  <c r="G1339" i="5"/>
  <c r="R1339" i="5"/>
  <c r="F1339" i="5"/>
  <c r="E1339" i="5"/>
  <c r="X1339" i="5"/>
  <c r="H1340" i="5"/>
  <c r="G1340" i="5"/>
  <c r="F1340" i="5"/>
  <c r="J1340" i="5"/>
  <c r="I1340" i="5"/>
  <c r="R1340" i="5"/>
  <c r="E1340" i="5"/>
  <c r="X1340" i="5"/>
  <c r="G1341" i="5"/>
  <c r="R1341" i="5"/>
  <c r="I1341" i="5"/>
  <c r="F1341" i="5"/>
  <c r="J1341" i="5"/>
  <c r="H1341" i="5"/>
  <c r="E1341" i="5"/>
  <c r="X1341" i="5"/>
  <c r="G1342" i="5"/>
  <c r="F1342" i="5"/>
  <c r="H1342" i="5"/>
  <c r="I1342" i="5"/>
  <c r="R1342" i="5"/>
  <c r="J1342" i="5"/>
  <c r="E1342" i="5"/>
  <c r="X1342" i="5"/>
  <c r="I1343" i="5"/>
  <c r="R1343" i="5"/>
  <c r="G1343" i="5"/>
  <c r="J1343" i="5"/>
  <c r="H1343" i="5"/>
  <c r="F1343" i="5"/>
  <c r="E1343" i="5"/>
  <c r="X1343" i="5"/>
  <c r="G1344" i="5"/>
  <c r="I1344" i="5"/>
  <c r="J1344" i="5"/>
  <c r="R1344" i="5"/>
  <c r="F1344" i="5"/>
  <c r="H1344" i="5"/>
  <c r="E1344" i="5"/>
  <c r="X1344" i="5"/>
  <c r="V1345" i="5"/>
  <c r="F1346" i="5"/>
  <c r="I1346" i="5"/>
  <c r="R1346" i="5"/>
  <c r="J1346" i="5"/>
  <c r="G1346" i="5"/>
  <c r="H1346" i="5"/>
  <c r="E1346" i="5"/>
  <c r="X1346" i="5"/>
  <c r="G1347" i="5"/>
  <c r="F1347" i="5"/>
  <c r="H1347" i="5"/>
  <c r="J1347" i="5"/>
  <c r="R1347" i="5"/>
  <c r="I1347" i="5"/>
  <c r="E1347" i="5"/>
  <c r="X1347" i="5"/>
  <c r="J1348" i="5"/>
  <c r="R1348" i="5"/>
  <c r="F1348" i="5"/>
  <c r="I1348" i="5"/>
  <c r="G1348" i="5"/>
  <c r="H1348" i="5"/>
  <c r="E1348" i="5"/>
  <c r="X1348" i="5"/>
  <c r="G1349" i="5"/>
  <c r="I1349" i="5"/>
  <c r="F1349" i="5"/>
  <c r="H1349" i="5"/>
  <c r="J1349" i="5"/>
  <c r="R1349" i="5"/>
  <c r="E1349" i="5"/>
  <c r="X1349" i="5"/>
  <c r="I1350" i="5"/>
  <c r="G1350" i="5"/>
  <c r="J1350" i="5"/>
  <c r="H1350" i="5"/>
  <c r="F1350" i="5"/>
  <c r="R1350" i="5"/>
  <c r="E1350" i="5"/>
  <c r="X1350" i="5"/>
  <c r="G1351" i="5"/>
  <c r="J1351" i="5"/>
  <c r="R1351" i="5"/>
  <c r="H1351" i="5"/>
  <c r="I1351" i="5"/>
  <c r="F1351" i="5"/>
  <c r="E1351" i="5"/>
  <c r="X1351" i="5"/>
  <c r="H1352" i="5"/>
  <c r="G1352" i="5"/>
  <c r="J1352" i="5"/>
  <c r="F1352" i="5"/>
  <c r="I1352" i="5"/>
  <c r="R1352" i="5"/>
  <c r="E1352" i="5"/>
  <c r="X1352" i="5"/>
  <c r="G1353" i="5"/>
  <c r="J1353" i="5"/>
  <c r="H1353" i="5"/>
  <c r="F1353" i="5"/>
  <c r="I1353" i="5"/>
  <c r="R1353" i="5"/>
  <c r="E1353" i="5"/>
  <c r="X1353" i="5"/>
  <c r="I1354" i="5"/>
  <c r="F1354" i="5"/>
  <c r="G1354" i="5"/>
  <c r="R1354" i="5"/>
  <c r="J1354" i="5"/>
  <c r="H1354" i="5"/>
  <c r="E1354" i="5"/>
  <c r="X1354" i="5"/>
  <c r="G1355" i="5"/>
  <c r="R1355" i="5"/>
  <c r="H1355" i="5"/>
  <c r="I1355" i="5"/>
  <c r="J1355" i="5"/>
  <c r="F1355" i="5"/>
  <c r="E1355" i="5"/>
  <c r="X1355" i="5"/>
  <c r="G1356" i="5"/>
  <c r="H1356" i="5"/>
  <c r="I1356" i="5"/>
  <c r="J1356" i="5"/>
  <c r="R1356" i="5"/>
  <c r="F1356" i="5"/>
  <c r="E1356" i="5"/>
  <c r="X1356" i="5"/>
  <c r="G1357" i="5"/>
  <c r="F1357" i="5"/>
  <c r="H1357" i="5"/>
  <c r="I1357" i="5"/>
  <c r="J1357" i="5"/>
  <c r="R1357" i="5"/>
  <c r="E1357" i="5"/>
  <c r="X1357" i="5"/>
  <c r="I1358" i="5"/>
  <c r="R1358" i="5"/>
  <c r="J1358" i="5"/>
  <c r="F1358" i="5"/>
  <c r="G1358" i="5"/>
  <c r="H1358" i="5"/>
  <c r="E1358" i="5"/>
  <c r="X1358" i="5"/>
  <c r="G1359" i="5"/>
  <c r="J1359" i="5"/>
  <c r="F1359" i="5"/>
  <c r="R1359" i="5"/>
  <c r="H1359" i="5"/>
  <c r="I1359" i="5"/>
  <c r="E1359" i="5"/>
  <c r="X1359" i="5"/>
  <c r="H1360" i="5"/>
  <c r="F1360" i="5"/>
  <c r="G1360" i="5"/>
  <c r="J1360" i="5"/>
  <c r="R1360" i="5"/>
  <c r="I1360" i="5"/>
  <c r="E1360" i="5"/>
  <c r="X1360" i="5"/>
  <c r="G1361" i="5"/>
  <c r="F1361" i="5"/>
  <c r="H1361" i="5"/>
  <c r="J1361" i="5"/>
  <c r="R1361" i="5"/>
  <c r="I1361" i="5"/>
  <c r="E1361" i="5"/>
  <c r="X1361" i="5"/>
  <c r="I1362" i="5"/>
  <c r="J1362" i="5"/>
  <c r="F1362" i="5"/>
  <c r="G1362" i="5"/>
  <c r="H1362" i="5"/>
  <c r="R1362" i="5"/>
  <c r="E1362" i="5"/>
  <c r="X1362" i="5"/>
  <c r="G1363" i="5"/>
  <c r="R1363" i="5"/>
  <c r="J1363" i="5"/>
  <c r="F1363" i="5"/>
  <c r="H1363" i="5"/>
  <c r="I1363" i="5"/>
  <c r="E1363" i="5"/>
  <c r="X1363" i="5"/>
  <c r="G1364" i="5"/>
  <c r="H1364" i="5"/>
  <c r="J1364" i="5"/>
  <c r="R1364" i="5"/>
  <c r="F1364" i="5"/>
  <c r="I1364" i="5"/>
  <c r="E1364" i="5"/>
  <c r="X1364" i="5"/>
  <c r="G1365" i="5"/>
  <c r="I1365" i="5"/>
  <c r="F1365" i="5"/>
  <c r="H1365" i="5"/>
  <c r="J1365" i="5"/>
  <c r="R1365" i="5"/>
  <c r="E1365" i="5"/>
  <c r="X1365" i="5"/>
  <c r="J1366" i="5"/>
  <c r="R1366" i="5"/>
  <c r="I1366" i="5"/>
  <c r="G1366" i="5"/>
  <c r="H1366" i="5"/>
  <c r="F1366" i="5"/>
  <c r="E1366" i="5"/>
  <c r="X1366" i="5"/>
  <c r="G1367" i="5"/>
  <c r="J1367" i="5"/>
  <c r="R1367" i="5"/>
  <c r="H1367" i="5"/>
  <c r="I1367" i="5"/>
  <c r="F1367" i="5"/>
  <c r="E1367" i="5"/>
  <c r="X1367" i="5"/>
  <c r="H1368" i="5"/>
  <c r="G1368" i="5"/>
  <c r="F1368" i="5"/>
  <c r="R1368" i="5"/>
  <c r="I1368" i="5"/>
  <c r="J1368" i="5"/>
  <c r="E1368" i="5"/>
  <c r="X1368" i="5"/>
  <c r="G1369" i="5"/>
  <c r="F1369" i="5"/>
  <c r="I1369" i="5"/>
  <c r="H1369" i="5"/>
  <c r="R1369" i="5"/>
  <c r="J1369" i="5"/>
  <c r="E1369" i="5"/>
  <c r="X1369" i="5"/>
  <c r="I1370" i="5"/>
  <c r="J1370" i="5"/>
  <c r="R1370" i="5"/>
  <c r="G1370" i="5"/>
  <c r="H1370" i="5"/>
  <c r="F1370" i="5"/>
  <c r="E1370" i="5"/>
  <c r="X1370" i="5"/>
  <c r="G1371" i="5"/>
  <c r="R1371" i="5"/>
  <c r="H1371" i="5"/>
  <c r="I1371" i="5"/>
  <c r="F1371" i="5"/>
  <c r="J1371" i="5"/>
  <c r="E1371" i="5"/>
  <c r="X1371" i="5"/>
  <c r="G1372" i="5"/>
  <c r="F1372" i="5"/>
  <c r="H1372" i="5"/>
  <c r="I1372" i="5"/>
  <c r="J1372" i="5"/>
  <c r="R1372" i="5"/>
  <c r="E1372" i="5"/>
  <c r="X1372" i="5"/>
  <c r="G1373" i="5"/>
  <c r="J1373" i="5"/>
  <c r="R1373" i="5"/>
  <c r="F1373" i="5"/>
  <c r="H1373" i="5"/>
  <c r="I1373" i="5"/>
  <c r="E1373" i="5"/>
  <c r="X1373" i="5"/>
  <c r="H1374" i="5"/>
  <c r="F1374" i="5"/>
  <c r="J1374" i="5"/>
  <c r="R1374" i="5"/>
  <c r="G1374" i="5"/>
  <c r="I1374" i="5"/>
  <c r="E1374" i="5"/>
  <c r="X1374" i="5"/>
  <c r="R1375" i="5"/>
  <c r="F1375" i="5"/>
  <c r="G1375" i="5"/>
  <c r="H1375" i="5"/>
  <c r="I1375" i="5"/>
  <c r="J1375" i="5"/>
  <c r="E1375" i="5"/>
  <c r="X1375" i="5"/>
  <c r="J1376" i="5"/>
  <c r="H1376" i="5"/>
  <c r="G1376" i="5"/>
  <c r="I1376" i="5"/>
  <c r="R1376" i="5"/>
  <c r="F1376" i="5"/>
  <c r="E1376" i="5"/>
  <c r="X1376" i="5"/>
  <c r="G1377" i="5"/>
  <c r="H1377" i="5"/>
  <c r="J1377" i="5"/>
  <c r="R1377" i="5"/>
  <c r="I1377" i="5"/>
  <c r="F1377" i="5"/>
  <c r="E1377" i="5"/>
  <c r="X1377" i="5"/>
  <c r="F1378" i="5"/>
  <c r="H1378" i="5"/>
  <c r="I1378" i="5"/>
  <c r="J1378" i="5"/>
  <c r="G1378" i="5"/>
  <c r="R1378" i="5"/>
  <c r="E1378" i="5"/>
  <c r="X1378" i="5"/>
  <c r="G1379" i="5"/>
  <c r="F1379" i="5"/>
  <c r="H1379" i="5"/>
  <c r="I1379" i="5"/>
  <c r="J1379" i="5"/>
  <c r="R1379" i="5"/>
  <c r="E1379" i="5"/>
  <c r="X1379" i="5"/>
  <c r="G1380" i="5"/>
  <c r="J1380" i="5"/>
  <c r="R1380" i="5"/>
  <c r="H1380" i="5"/>
  <c r="F1380" i="5"/>
  <c r="I1380" i="5"/>
  <c r="E1380" i="5"/>
  <c r="X1380" i="5"/>
  <c r="H1381" i="5"/>
  <c r="R1381" i="5"/>
  <c r="G1381" i="5"/>
  <c r="I1381" i="5"/>
  <c r="F1381" i="5"/>
  <c r="J1381" i="5"/>
  <c r="E1381" i="5"/>
  <c r="X1381" i="5"/>
  <c r="H1382" i="5"/>
  <c r="F1382" i="5"/>
  <c r="R1382" i="5"/>
  <c r="G1382" i="5"/>
  <c r="I1382" i="5"/>
  <c r="J1382" i="5"/>
  <c r="E1382" i="5"/>
  <c r="X1382" i="5"/>
  <c r="V1383" i="5"/>
  <c r="J1384" i="5"/>
  <c r="I1384" i="5"/>
  <c r="G1384" i="5"/>
  <c r="F1384" i="5"/>
  <c r="H1384" i="5"/>
  <c r="R1384" i="5"/>
  <c r="E1384" i="5"/>
  <c r="X1384" i="5"/>
  <c r="I1385" i="5"/>
  <c r="G1385" i="5"/>
  <c r="H1385" i="5"/>
  <c r="J1385" i="5"/>
  <c r="F1385" i="5"/>
  <c r="R1385" i="5"/>
  <c r="E1385" i="5"/>
  <c r="X1385" i="5"/>
  <c r="R1386" i="5"/>
  <c r="G1386" i="5"/>
  <c r="H1386" i="5"/>
  <c r="I1386" i="5"/>
  <c r="J1386" i="5"/>
  <c r="F1386" i="5"/>
  <c r="E1386" i="5"/>
  <c r="X1386" i="5"/>
  <c r="G1387" i="5"/>
  <c r="R1387" i="5"/>
  <c r="H1387" i="5"/>
  <c r="I1387" i="5"/>
  <c r="F1387" i="5"/>
  <c r="J1387" i="5"/>
  <c r="E1387" i="5"/>
  <c r="X1387" i="5"/>
  <c r="H1388" i="5"/>
  <c r="F1388" i="5"/>
  <c r="R1388" i="5"/>
  <c r="G1388" i="5"/>
  <c r="J1388" i="5"/>
  <c r="I1388" i="5"/>
  <c r="E1388" i="5"/>
  <c r="X1388" i="5"/>
  <c r="V1389" i="5"/>
  <c r="F1390" i="5"/>
  <c r="I1390" i="5"/>
  <c r="R1390" i="5"/>
  <c r="G1390" i="5"/>
  <c r="J1390" i="5"/>
  <c r="H1390" i="5"/>
  <c r="E1390" i="5"/>
  <c r="X1390" i="5"/>
  <c r="R1391" i="5"/>
  <c r="G1391" i="5"/>
  <c r="F1391" i="5"/>
  <c r="J1391" i="5"/>
  <c r="I1391" i="5"/>
  <c r="H1391" i="5"/>
  <c r="E1391" i="5"/>
  <c r="X1391" i="5"/>
  <c r="J1392" i="5"/>
  <c r="F1392" i="5"/>
  <c r="R1392" i="5"/>
  <c r="G1392" i="5"/>
  <c r="I1392" i="5"/>
  <c r="H1392" i="5"/>
  <c r="E1392" i="5"/>
  <c r="X1392" i="5"/>
  <c r="G1393" i="5"/>
  <c r="F1393" i="5"/>
  <c r="H1393" i="5"/>
  <c r="J1393" i="5"/>
  <c r="R1393" i="5"/>
  <c r="I1393" i="5"/>
  <c r="E1393" i="5"/>
  <c r="X1393" i="5"/>
  <c r="G1394" i="5"/>
  <c r="F1394" i="5"/>
  <c r="I1394" i="5"/>
  <c r="R1394" i="5"/>
  <c r="H1394" i="5"/>
  <c r="J1394" i="5"/>
  <c r="E1394" i="5"/>
  <c r="X1394" i="5"/>
  <c r="G1395" i="5"/>
  <c r="F1395" i="5"/>
  <c r="H1395" i="5"/>
  <c r="I1395" i="5"/>
  <c r="J1395" i="5"/>
  <c r="R1395" i="5"/>
  <c r="E1395" i="5"/>
  <c r="X1395" i="5"/>
  <c r="G1396" i="5"/>
  <c r="I1396" i="5"/>
  <c r="F1396" i="5"/>
  <c r="J1396" i="5"/>
  <c r="R1396" i="5"/>
  <c r="H1396" i="5"/>
  <c r="E1396" i="5"/>
  <c r="X1396" i="5"/>
  <c r="G1397" i="5"/>
  <c r="I1397" i="5"/>
  <c r="F1397" i="5"/>
  <c r="H1397" i="5"/>
  <c r="J1397" i="5"/>
  <c r="R1397" i="5"/>
  <c r="E1397" i="5"/>
  <c r="X1397" i="5"/>
  <c r="R1398" i="5"/>
  <c r="F1398" i="5"/>
  <c r="G1398" i="5"/>
  <c r="J1398" i="5"/>
  <c r="H1398" i="5"/>
  <c r="I1398" i="5"/>
  <c r="E1398" i="5"/>
  <c r="X1398" i="5"/>
  <c r="H1399" i="5"/>
  <c r="J1399" i="5"/>
  <c r="R1399" i="5"/>
  <c r="G1399" i="5"/>
  <c r="F1399" i="5"/>
  <c r="I1399" i="5"/>
  <c r="E1399" i="5"/>
  <c r="X1399" i="5"/>
  <c r="J1400" i="5"/>
  <c r="R1400" i="5"/>
  <c r="G1400" i="5"/>
  <c r="H1400" i="5"/>
  <c r="I1400" i="5"/>
  <c r="F1400" i="5"/>
  <c r="E1400" i="5"/>
  <c r="X1400" i="5"/>
  <c r="F1401" i="5"/>
  <c r="R1401" i="5"/>
  <c r="I1401" i="5"/>
  <c r="G1401" i="5"/>
  <c r="J1401" i="5"/>
  <c r="H1401" i="5"/>
  <c r="E1401" i="5"/>
  <c r="X1401" i="5"/>
  <c r="G1402" i="5"/>
  <c r="H1402" i="5"/>
  <c r="J1402" i="5"/>
  <c r="I1402" i="5"/>
  <c r="F1402" i="5"/>
  <c r="R1402" i="5"/>
  <c r="E1402" i="5"/>
  <c r="X1402" i="5"/>
  <c r="H1403" i="5"/>
  <c r="R1403" i="5"/>
  <c r="J1403" i="5"/>
  <c r="I1403" i="5"/>
  <c r="G1403" i="5"/>
  <c r="F1403" i="5"/>
  <c r="E1403" i="5"/>
  <c r="X1403" i="5"/>
  <c r="F1404" i="5"/>
  <c r="J1404" i="5"/>
  <c r="G1404" i="5"/>
  <c r="R1404" i="5"/>
  <c r="I1404" i="5"/>
  <c r="H1404" i="5"/>
  <c r="E1404" i="5"/>
  <c r="X1404" i="5"/>
  <c r="F1405" i="5"/>
  <c r="J1405" i="5"/>
  <c r="I1405" i="5"/>
  <c r="R1405" i="5"/>
  <c r="H1405" i="5"/>
  <c r="G1405" i="5"/>
  <c r="E1405" i="5"/>
  <c r="X1405" i="5"/>
  <c r="G1406" i="5"/>
  <c r="J1406" i="5"/>
  <c r="H1406" i="5"/>
  <c r="I1406" i="5"/>
  <c r="F1406" i="5"/>
  <c r="R1406" i="5"/>
  <c r="E1406" i="5"/>
  <c r="X1406" i="5"/>
  <c r="F1407" i="5"/>
  <c r="I1407" i="5"/>
  <c r="G1407" i="5"/>
  <c r="H1407" i="5"/>
  <c r="J1407" i="5"/>
  <c r="R1407" i="5"/>
  <c r="E1407" i="5"/>
  <c r="X1407" i="5"/>
  <c r="G1408" i="5"/>
  <c r="F1408" i="5"/>
  <c r="H1408" i="5"/>
  <c r="I1408" i="5"/>
  <c r="J1408" i="5"/>
  <c r="R1408" i="5"/>
  <c r="E1408" i="5"/>
  <c r="X1408" i="5"/>
  <c r="R1409" i="5"/>
  <c r="G1409" i="5"/>
  <c r="H1409" i="5"/>
  <c r="J1409" i="5"/>
  <c r="F1409" i="5"/>
  <c r="I1409" i="5"/>
  <c r="E1409" i="5"/>
  <c r="X1409" i="5"/>
  <c r="G1410" i="5"/>
  <c r="F1410" i="5"/>
  <c r="H1410" i="5"/>
  <c r="J1410" i="5"/>
  <c r="I1410" i="5"/>
  <c r="R1410" i="5"/>
  <c r="E1410" i="5"/>
  <c r="X1410" i="5"/>
  <c r="G1411" i="5"/>
  <c r="R1411" i="5"/>
  <c r="F1411" i="5"/>
  <c r="I1411" i="5"/>
  <c r="H1411" i="5"/>
  <c r="J1411" i="5"/>
  <c r="E1411" i="5"/>
  <c r="X1411" i="5"/>
  <c r="G1412" i="5"/>
  <c r="F1412" i="5"/>
  <c r="I1412" i="5"/>
  <c r="R1412" i="5"/>
  <c r="H1412" i="5"/>
  <c r="J1412" i="5"/>
  <c r="E1412" i="5"/>
  <c r="X1412" i="5"/>
  <c r="H1413" i="5"/>
  <c r="I1413" i="5"/>
  <c r="R1413" i="5"/>
  <c r="F1413" i="5"/>
  <c r="G1413" i="5"/>
  <c r="J1413" i="5"/>
  <c r="E1413" i="5"/>
  <c r="X1413" i="5"/>
  <c r="G1414" i="5"/>
  <c r="J1414" i="5"/>
  <c r="F1414" i="5"/>
  <c r="H1414" i="5"/>
  <c r="R1414" i="5"/>
  <c r="I1414" i="5"/>
  <c r="E1414" i="5"/>
  <c r="X1414" i="5"/>
  <c r="G1415" i="5"/>
  <c r="H1415" i="5"/>
  <c r="I1415" i="5"/>
  <c r="J1415" i="5"/>
  <c r="R1415" i="5"/>
  <c r="F1415" i="5"/>
  <c r="E1415" i="5"/>
  <c r="X1415" i="5"/>
  <c r="G1416" i="5"/>
  <c r="I1416" i="5"/>
  <c r="J1416" i="5"/>
  <c r="R1416" i="5"/>
  <c r="F1416" i="5"/>
  <c r="H1416" i="5"/>
  <c r="E1416" i="5"/>
  <c r="X1416" i="5"/>
  <c r="I1417" i="5"/>
  <c r="J1417" i="5"/>
  <c r="R1417" i="5"/>
  <c r="G1417" i="5"/>
  <c r="H1417" i="5"/>
  <c r="F1417" i="5"/>
  <c r="E1417" i="5"/>
  <c r="X1417" i="5"/>
  <c r="G1418" i="5"/>
  <c r="F1418" i="5"/>
  <c r="R1418" i="5"/>
  <c r="H1418" i="5"/>
  <c r="J1418" i="5"/>
  <c r="I1418" i="5"/>
  <c r="E1418" i="5"/>
  <c r="X1418" i="5"/>
  <c r="G1419" i="5"/>
  <c r="R1419" i="5"/>
  <c r="F1419" i="5"/>
  <c r="I1419" i="5"/>
  <c r="H1419" i="5"/>
  <c r="J1419" i="5"/>
  <c r="E1419" i="5"/>
  <c r="X1419" i="5"/>
  <c r="G1420" i="5"/>
  <c r="I1420" i="5"/>
  <c r="J1420" i="5"/>
  <c r="F1420" i="5"/>
  <c r="R1420" i="5"/>
  <c r="H1420" i="5"/>
  <c r="E1420" i="5"/>
  <c r="X1420" i="5"/>
  <c r="F1421" i="5"/>
  <c r="G1421" i="5"/>
  <c r="J1421" i="5"/>
  <c r="R1421" i="5"/>
  <c r="I1421" i="5"/>
  <c r="H1421" i="5"/>
  <c r="E1421" i="5"/>
  <c r="X1421" i="5"/>
  <c r="G1422" i="5"/>
  <c r="J1422" i="5"/>
  <c r="F1422" i="5"/>
  <c r="H1422" i="5"/>
  <c r="R1422" i="5"/>
  <c r="I1422" i="5"/>
  <c r="E1422" i="5"/>
  <c r="X1422" i="5"/>
  <c r="G1423" i="5"/>
  <c r="J1423" i="5"/>
  <c r="I1423" i="5"/>
  <c r="R1423" i="5"/>
  <c r="F1423" i="5"/>
  <c r="H1423" i="5"/>
  <c r="E1423" i="5"/>
  <c r="X1423" i="5"/>
  <c r="G1424" i="5"/>
  <c r="I1424" i="5"/>
  <c r="R1424" i="5"/>
  <c r="F1424" i="5"/>
  <c r="H1424" i="5"/>
  <c r="J1424" i="5"/>
  <c r="E1424" i="5"/>
  <c r="X1424" i="5"/>
  <c r="G1425" i="5"/>
  <c r="F1425" i="5"/>
  <c r="R1425" i="5"/>
  <c r="H1425" i="5"/>
  <c r="I1425" i="5"/>
  <c r="J1425" i="5"/>
  <c r="E1425" i="5"/>
  <c r="X1425" i="5"/>
  <c r="I1426" i="5"/>
  <c r="H1426" i="5"/>
  <c r="G1426" i="5"/>
  <c r="R1426" i="5"/>
  <c r="J1426" i="5"/>
  <c r="F1426" i="5"/>
  <c r="E1426" i="5"/>
  <c r="X1426" i="5"/>
  <c r="G1427" i="5"/>
  <c r="R1427" i="5"/>
  <c r="F1427" i="5"/>
  <c r="I1427" i="5"/>
  <c r="H1427" i="5"/>
  <c r="J1427" i="5"/>
  <c r="E1427" i="5"/>
  <c r="X1427" i="5"/>
  <c r="G1428" i="5"/>
  <c r="I1428" i="5"/>
  <c r="J1428" i="5"/>
  <c r="F1428" i="5"/>
  <c r="R1428" i="5"/>
  <c r="H1428" i="5"/>
  <c r="E1428" i="5"/>
  <c r="X1428" i="5"/>
  <c r="F1429" i="5"/>
  <c r="G1429" i="5"/>
  <c r="R1429" i="5"/>
  <c r="I1429" i="5"/>
  <c r="H1429" i="5"/>
  <c r="J1429" i="5"/>
  <c r="E1429" i="5"/>
  <c r="X1429" i="5"/>
  <c r="I1430" i="5"/>
  <c r="R1430" i="5"/>
  <c r="F1430" i="5"/>
  <c r="G1430" i="5"/>
  <c r="J1430" i="5"/>
  <c r="H1430" i="5"/>
  <c r="E1430" i="5"/>
  <c r="X1430" i="5"/>
  <c r="G1431" i="5"/>
  <c r="J1431" i="5"/>
  <c r="I1431" i="5"/>
  <c r="R1431" i="5"/>
  <c r="F1431" i="5"/>
  <c r="H1431" i="5"/>
  <c r="E1431" i="5"/>
  <c r="X1431" i="5"/>
  <c r="G1432" i="5"/>
  <c r="J1432" i="5"/>
  <c r="I1432" i="5"/>
  <c r="R1432" i="5"/>
  <c r="F1432" i="5"/>
  <c r="H1432" i="5"/>
  <c r="E1432" i="5"/>
  <c r="X1432" i="5"/>
  <c r="G1433" i="5"/>
  <c r="F1433" i="5"/>
  <c r="R1433" i="5"/>
  <c r="H1433" i="5"/>
  <c r="I1433" i="5"/>
  <c r="J1433" i="5"/>
  <c r="E1433" i="5"/>
  <c r="X1433" i="5"/>
  <c r="R1434" i="5"/>
  <c r="J1434" i="5"/>
  <c r="G1434" i="5"/>
  <c r="F1434" i="5"/>
  <c r="I1434" i="5"/>
  <c r="H1434" i="5"/>
  <c r="E1434" i="5"/>
  <c r="X1434" i="5"/>
  <c r="I1435" i="5"/>
  <c r="H1435" i="5"/>
  <c r="G1435" i="5"/>
  <c r="J1435" i="5"/>
  <c r="R1435" i="5"/>
  <c r="F1435" i="5"/>
  <c r="E1435" i="5"/>
  <c r="X1435" i="5"/>
  <c r="I1436" i="5"/>
  <c r="H1436" i="5"/>
  <c r="R1436" i="5"/>
  <c r="J1436" i="5"/>
  <c r="G1436" i="5"/>
  <c r="F1436" i="5"/>
  <c r="E1436" i="5"/>
  <c r="X1436" i="5"/>
  <c r="R1437" i="5"/>
  <c r="I1437" i="5"/>
  <c r="F1437" i="5"/>
  <c r="J1437" i="5"/>
  <c r="G1437" i="5"/>
  <c r="H1437" i="5"/>
  <c r="E1437" i="5"/>
  <c r="X1437" i="5"/>
  <c r="G1438" i="5"/>
  <c r="I1438" i="5"/>
  <c r="R1438" i="5"/>
  <c r="H1438" i="5"/>
  <c r="F1438" i="5"/>
  <c r="J1438" i="5"/>
  <c r="E1438" i="5"/>
  <c r="X1438" i="5"/>
  <c r="G1439" i="5"/>
  <c r="J1439" i="5"/>
  <c r="I1439" i="5"/>
  <c r="R1439" i="5"/>
  <c r="F1439" i="5"/>
  <c r="H1439" i="5"/>
  <c r="E1439" i="5"/>
  <c r="X1439" i="5"/>
  <c r="I1440" i="5"/>
  <c r="J1440" i="5"/>
  <c r="G1440" i="5"/>
  <c r="R1440" i="5"/>
  <c r="H1440" i="5"/>
  <c r="F1440" i="5"/>
  <c r="E1440" i="5"/>
  <c r="X1440" i="5"/>
  <c r="H1441" i="5"/>
  <c r="J1441" i="5"/>
  <c r="F1441" i="5"/>
  <c r="G1441" i="5"/>
  <c r="R1441" i="5"/>
  <c r="I1441" i="5"/>
  <c r="E1441" i="5"/>
  <c r="X1441" i="5"/>
  <c r="G1442" i="5"/>
  <c r="H1442" i="5"/>
  <c r="R1442" i="5"/>
  <c r="I1442" i="5"/>
  <c r="J1442" i="5"/>
  <c r="F1442" i="5"/>
  <c r="E1442" i="5"/>
  <c r="X1442" i="5"/>
  <c r="G1443" i="5"/>
  <c r="J1443" i="5"/>
  <c r="R1443" i="5"/>
  <c r="F1443" i="5"/>
  <c r="H1443" i="5"/>
  <c r="I1443" i="5"/>
  <c r="E1443" i="5"/>
  <c r="X1443" i="5"/>
  <c r="G1444" i="5"/>
  <c r="R1444" i="5"/>
  <c r="I1444" i="5"/>
  <c r="J1444" i="5"/>
  <c r="F1444" i="5"/>
  <c r="H1444" i="5"/>
  <c r="E1444" i="5"/>
  <c r="X1444" i="5"/>
  <c r="R1445" i="5"/>
  <c r="F1445" i="5"/>
  <c r="G1445" i="5"/>
  <c r="J1445" i="5"/>
  <c r="I1445" i="5"/>
  <c r="H1445" i="5"/>
  <c r="E1445" i="5"/>
  <c r="X1445" i="5"/>
  <c r="G1446" i="5"/>
  <c r="R1446" i="5"/>
  <c r="F1446" i="5"/>
  <c r="I1446" i="5"/>
  <c r="J1446" i="5"/>
  <c r="H1446" i="5"/>
  <c r="E1446" i="5"/>
  <c r="X1446" i="5"/>
  <c r="G1447" i="5"/>
  <c r="H1447" i="5"/>
  <c r="R1447" i="5"/>
  <c r="F1447" i="5"/>
  <c r="J1447" i="5"/>
  <c r="I1447" i="5"/>
  <c r="E1447" i="5"/>
  <c r="X1447" i="5"/>
  <c r="G1448" i="5"/>
  <c r="R1448" i="5"/>
  <c r="F1448" i="5"/>
  <c r="H1448" i="5"/>
  <c r="J1448" i="5"/>
  <c r="I1448" i="5"/>
  <c r="E1448" i="5"/>
  <c r="X1448" i="5"/>
  <c r="G1449" i="5"/>
  <c r="R1449" i="5"/>
  <c r="I1449" i="5"/>
  <c r="H1449" i="5"/>
  <c r="J1449" i="5"/>
  <c r="F1449" i="5"/>
  <c r="E1449" i="5"/>
  <c r="X1449" i="5"/>
  <c r="G1450" i="5"/>
  <c r="I1450" i="5"/>
  <c r="J1450" i="5"/>
  <c r="H1450" i="5"/>
  <c r="F1450" i="5"/>
  <c r="R1450" i="5"/>
  <c r="E1450" i="5"/>
  <c r="X1450" i="5"/>
  <c r="G1451" i="5"/>
  <c r="R1451" i="5"/>
  <c r="F1451" i="5"/>
  <c r="H1451" i="5"/>
  <c r="J1451" i="5"/>
  <c r="I1451" i="5"/>
  <c r="E1451" i="5"/>
  <c r="X1451" i="5"/>
  <c r="G1452" i="5"/>
  <c r="R1452" i="5"/>
  <c r="F1452" i="5"/>
  <c r="H1452" i="5"/>
  <c r="I1452" i="5"/>
  <c r="J1452" i="5"/>
  <c r="E1452" i="5"/>
  <c r="X1452" i="5"/>
  <c r="G1453" i="5"/>
  <c r="F1453" i="5"/>
  <c r="R1453" i="5"/>
  <c r="H1453" i="5"/>
  <c r="J1453" i="5"/>
  <c r="I1453" i="5"/>
  <c r="E1453" i="5"/>
  <c r="X1453" i="5"/>
  <c r="G1454" i="5"/>
  <c r="H1454" i="5"/>
  <c r="I1454" i="5"/>
  <c r="J1454" i="5"/>
  <c r="R1454" i="5"/>
  <c r="F1454" i="5"/>
  <c r="E1454" i="5"/>
  <c r="X1454" i="5"/>
  <c r="G1455" i="5"/>
  <c r="R1455" i="5"/>
  <c r="F1455" i="5"/>
  <c r="H1455" i="5"/>
  <c r="I1455" i="5"/>
  <c r="J1455" i="5"/>
  <c r="E1455" i="5"/>
  <c r="X1455" i="5"/>
  <c r="H1456" i="5"/>
  <c r="R1456" i="5"/>
  <c r="J1456" i="5"/>
  <c r="G1456" i="5"/>
  <c r="F1456" i="5"/>
  <c r="I1456" i="5"/>
  <c r="E1456" i="5"/>
  <c r="X1456" i="5"/>
  <c r="V1457" i="5"/>
  <c r="G1458" i="5"/>
  <c r="F1458" i="5"/>
  <c r="H1458" i="5"/>
  <c r="R1458" i="5"/>
  <c r="I1458" i="5"/>
  <c r="J1458" i="5"/>
  <c r="E1458" i="5"/>
  <c r="X1458" i="5"/>
  <c r="G1459" i="5"/>
  <c r="H1459" i="5"/>
  <c r="I1459" i="5"/>
  <c r="J1459" i="5"/>
  <c r="R1459" i="5"/>
  <c r="F1459" i="5"/>
  <c r="E1459" i="5"/>
  <c r="X1459" i="5"/>
  <c r="F1460" i="5"/>
  <c r="I1460" i="5"/>
  <c r="R1460" i="5"/>
  <c r="G1460" i="5"/>
  <c r="H1460" i="5"/>
  <c r="J1460" i="5"/>
  <c r="E1460" i="5"/>
  <c r="X1460" i="5"/>
  <c r="R1461" i="5"/>
  <c r="H1461" i="5"/>
  <c r="G1461" i="5"/>
  <c r="I1461" i="5"/>
  <c r="J1461" i="5"/>
  <c r="F1461" i="5"/>
  <c r="E1461" i="5"/>
  <c r="X1461" i="5"/>
  <c r="G1462" i="5"/>
  <c r="F1462" i="5"/>
  <c r="R1462" i="5"/>
  <c r="I1462" i="5"/>
  <c r="J1462" i="5"/>
  <c r="H1462" i="5"/>
  <c r="E1462" i="5"/>
  <c r="X1462" i="5"/>
  <c r="G1463" i="5"/>
  <c r="J1463" i="5"/>
  <c r="I1463" i="5"/>
  <c r="H1463" i="5"/>
  <c r="R1463" i="5"/>
  <c r="F1463" i="5"/>
  <c r="E1463" i="5"/>
  <c r="X1463" i="5"/>
  <c r="G1464" i="5"/>
  <c r="H1464" i="5"/>
  <c r="I1464" i="5"/>
  <c r="J1464" i="5"/>
  <c r="R1464" i="5"/>
  <c r="F1464" i="5"/>
  <c r="E1464" i="5"/>
  <c r="X1464" i="5"/>
  <c r="G1465" i="5"/>
  <c r="H1465" i="5"/>
  <c r="J1465" i="5"/>
  <c r="F1465" i="5"/>
  <c r="I1465" i="5"/>
  <c r="R1465" i="5"/>
  <c r="E1465" i="5"/>
  <c r="X1465" i="5"/>
  <c r="G1466" i="5"/>
  <c r="I1466" i="5"/>
  <c r="J1466" i="5"/>
  <c r="F1466" i="5"/>
  <c r="H1466" i="5"/>
  <c r="R1466" i="5"/>
  <c r="E1466" i="5"/>
  <c r="X1466" i="5"/>
  <c r="V1467" i="5"/>
  <c r="G1468" i="5"/>
  <c r="F1468" i="5"/>
  <c r="H1468" i="5"/>
  <c r="J1468" i="5"/>
  <c r="I1468" i="5"/>
  <c r="R1468" i="5"/>
  <c r="E1468" i="5"/>
  <c r="X1468" i="5"/>
  <c r="G1469" i="5"/>
  <c r="R1469" i="5"/>
  <c r="H1469" i="5"/>
  <c r="J1469" i="5"/>
  <c r="F1469" i="5"/>
  <c r="I1469" i="5"/>
  <c r="E1469" i="5"/>
  <c r="X1469" i="5"/>
  <c r="G1470" i="5"/>
  <c r="I1470" i="5"/>
  <c r="J1470" i="5"/>
  <c r="F1470" i="5"/>
  <c r="H1470" i="5"/>
  <c r="R1470" i="5"/>
  <c r="E1470" i="5"/>
  <c r="X1470" i="5"/>
  <c r="R1471" i="5"/>
  <c r="F1471" i="5"/>
  <c r="G1471" i="5"/>
  <c r="I1471" i="5"/>
  <c r="J1471" i="5"/>
  <c r="H1471" i="5"/>
  <c r="E1471" i="5"/>
  <c r="X1471" i="5"/>
  <c r="G1472" i="5"/>
  <c r="J1472" i="5"/>
  <c r="R1472" i="5"/>
  <c r="I1472" i="5"/>
  <c r="F1472" i="5"/>
  <c r="H1472" i="5"/>
  <c r="E1472" i="5"/>
  <c r="X1472" i="5"/>
  <c r="R1473" i="5"/>
  <c r="F1473" i="5"/>
  <c r="I1473" i="5"/>
  <c r="G1473" i="5"/>
  <c r="H1473" i="5"/>
  <c r="J1473" i="5"/>
  <c r="E1473" i="5"/>
  <c r="X1473" i="5"/>
  <c r="G1474" i="5"/>
  <c r="F1474" i="5"/>
  <c r="H1474" i="5"/>
  <c r="R1474" i="5"/>
  <c r="I1474" i="5"/>
  <c r="J1474" i="5"/>
  <c r="E1474" i="5"/>
  <c r="X1474" i="5"/>
  <c r="G1475" i="5"/>
  <c r="I1475" i="5"/>
  <c r="H1475" i="5"/>
  <c r="J1475" i="5"/>
  <c r="R1475" i="5"/>
  <c r="F1475" i="5"/>
  <c r="E1475" i="5"/>
  <c r="X1475" i="5"/>
  <c r="J1476" i="5"/>
  <c r="G1476" i="5"/>
  <c r="I1476" i="5"/>
  <c r="H1476" i="5"/>
  <c r="R1476" i="5"/>
  <c r="F1476" i="5"/>
  <c r="E1476" i="5"/>
  <c r="X1476" i="5"/>
  <c r="I1477" i="5"/>
  <c r="G1477" i="5"/>
  <c r="R1477" i="5"/>
  <c r="F1477" i="5"/>
  <c r="H1477" i="5"/>
  <c r="J1477" i="5"/>
  <c r="E1477" i="5"/>
  <c r="X1477" i="5"/>
  <c r="G1478" i="5"/>
  <c r="R1478" i="5"/>
  <c r="F1478" i="5"/>
  <c r="I1478" i="5"/>
  <c r="J1478" i="5"/>
  <c r="H1478" i="5"/>
  <c r="E1478" i="5"/>
  <c r="X1478" i="5"/>
  <c r="G1479" i="5"/>
  <c r="H1479" i="5"/>
  <c r="R1479" i="5"/>
  <c r="F1479" i="5"/>
  <c r="J1479" i="5"/>
  <c r="I1479" i="5"/>
  <c r="E1479" i="5"/>
  <c r="X1479" i="5"/>
  <c r="G1480" i="5"/>
  <c r="R1480" i="5"/>
  <c r="F1480" i="5"/>
  <c r="H1480" i="5"/>
  <c r="I1480" i="5"/>
  <c r="J1480" i="5"/>
  <c r="E1480" i="5"/>
  <c r="X1480" i="5"/>
  <c r="G1481" i="5"/>
  <c r="F1481" i="5"/>
  <c r="I1481" i="5"/>
  <c r="H1481" i="5"/>
  <c r="J1481" i="5"/>
  <c r="R1481" i="5"/>
  <c r="E1481" i="5"/>
  <c r="X1481" i="5"/>
  <c r="G1482" i="5"/>
  <c r="H1482" i="5"/>
  <c r="R1482" i="5"/>
  <c r="I1482" i="5"/>
  <c r="J1482" i="5"/>
  <c r="F1482" i="5"/>
  <c r="E1482" i="5"/>
  <c r="X1482" i="5"/>
  <c r="G1483" i="5"/>
  <c r="J1483" i="5"/>
  <c r="H1483" i="5"/>
  <c r="I1483" i="5"/>
  <c r="R1483" i="5"/>
  <c r="F1483" i="5"/>
  <c r="E1483" i="5"/>
  <c r="X1483" i="5"/>
  <c r="I1484" i="5"/>
  <c r="H1484" i="5"/>
  <c r="R1484" i="5"/>
  <c r="F1484" i="5"/>
  <c r="G1484" i="5"/>
  <c r="J1484" i="5"/>
  <c r="E1484" i="5"/>
  <c r="X1484" i="5"/>
  <c r="R1485" i="5"/>
  <c r="G1485" i="5"/>
  <c r="F1485" i="5"/>
  <c r="H1485" i="5"/>
  <c r="J1485" i="5"/>
  <c r="I1485" i="5"/>
  <c r="E1485" i="5"/>
  <c r="X1485" i="5"/>
  <c r="G1486" i="5"/>
  <c r="H1486" i="5"/>
  <c r="I1486" i="5"/>
  <c r="J1486" i="5"/>
  <c r="R1486" i="5"/>
  <c r="F1486" i="5"/>
  <c r="E1486" i="5"/>
  <c r="X1486" i="5"/>
  <c r="G1487" i="5"/>
  <c r="H1487" i="5"/>
  <c r="R1487" i="5"/>
  <c r="F1487" i="5"/>
  <c r="I1487" i="5"/>
  <c r="J1487" i="5"/>
  <c r="E1487" i="5"/>
  <c r="X1487" i="5"/>
  <c r="G1488" i="5"/>
  <c r="F1488" i="5"/>
  <c r="H1488" i="5"/>
  <c r="I1488" i="5"/>
  <c r="R1488" i="5"/>
  <c r="J1488" i="5"/>
  <c r="E1488" i="5"/>
  <c r="X1488" i="5"/>
  <c r="H1489" i="5"/>
  <c r="J1489" i="5"/>
  <c r="I1489" i="5"/>
  <c r="R1489" i="5"/>
  <c r="G1489" i="5"/>
  <c r="F1489" i="5"/>
  <c r="E1489" i="5"/>
  <c r="X1489" i="5"/>
  <c r="G1490" i="5"/>
  <c r="F1490" i="5"/>
  <c r="I1490" i="5"/>
  <c r="J1490" i="5"/>
  <c r="R1490" i="5"/>
  <c r="H1490" i="5"/>
  <c r="E1490" i="5"/>
  <c r="X1490" i="5"/>
  <c r="G1491" i="5"/>
  <c r="R1491" i="5"/>
  <c r="F1491" i="5"/>
  <c r="I1491" i="5"/>
  <c r="H1491" i="5"/>
  <c r="J1491" i="5"/>
  <c r="E1491" i="5"/>
  <c r="X1491" i="5"/>
  <c r="J1492" i="5"/>
  <c r="G1492" i="5"/>
  <c r="F1492" i="5"/>
  <c r="H1492" i="5"/>
  <c r="I1492" i="5"/>
  <c r="R1492" i="5"/>
  <c r="E1492" i="5"/>
  <c r="X1492" i="5"/>
  <c r="G1493" i="5"/>
  <c r="F1493" i="5"/>
  <c r="I1493" i="5"/>
  <c r="H1493" i="5"/>
  <c r="J1493" i="5"/>
  <c r="R1493" i="5"/>
  <c r="E1493" i="5"/>
  <c r="X1493" i="5"/>
  <c r="I1494" i="5"/>
  <c r="G1494" i="5"/>
  <c r="J1494" i="5"/>
  <c r="R1494" i="5"/>
  <c r="H1494" i="5"/>
  <c r="F1494" i="5"/>
  <c r="E1494" i="5"/>
  <c r="X1494" i="5"/>
  <c r="G1495" i="5"/>
  <c r="R1495" i="5"/>
  <c r="F1495" i="5"/>
  <c r="I1495" i="5"/>
  <c r="H1495" i="5"/>
  <c r="J1495" i="5"/>
  <c r="E1495" i="5"/>
  <c r="X1495" i="5"/>
  <c r="J1496" i="5"/>
  <c r="F1496" i="5"/>
  <c r="G1496" i="5"/>
  <c r="H1496" i="5"/>
  <c r="R1496" i="5"/>
  <c r="I1496" i="5"/>
  <c r="E1496" i="5"/>
  <c r="X1496" i="5"/>
  <c r="G1497" i="5"/>
  <c r="I1497" i="5"/>
  <c r="H1497" i="5"/>
  <c r="J1497" i="5"/>
  <c r="R1497" i="5"/>
  <c r="F1497" i="5"/>
  <c r="E1497" i="5"/>
  <c r="X1497" i="5"/>
  <c r="G1498" i="5"/>
  <c r="H1498" i="5"/>
  <c r="R1498" i="5"/>
  <c r="I1498" i="5"/>
  <c r="J1498" i="5"/>
  <c r="F1498" i="5"/>
  <c r="E1498" i="5"/>
  <c r="X1498" i="5"/>
  <c r="G1499" i="5"/>
  <c r="H1499" i="5"/>
  <c r="I1499" i="5"/>
  <c r="R1499" i="5"/>
  <c r="F1499" i="5"/>
  <c r="J1499" i="5"/>
  <c r="E1499" i="5"/>
  <c r="X1499" i="5"/>
  <c r="H1500" i="5"/>
  <c r="J1500" i="5"/>
  <c r="F1500" i="5"/>
  <c r="I1500" i="5"/>
  <c r="G1500" i="5"/>
  <c r="R1500" i="5"/>
  <c r="E1500" i="5"/>
  <c r="X1500" i="5"/>
  <c r="G1501" i="5"/>
  <c r="F1501" i="5"/>
  <c r="I1501" i="5"/>
  <c r="R1501" i="5"/>
  <c r="J1501" i="5"/>
  <c r="H1501" i="5"/>
  <c r="E1501" i="5"/>
  <c r="X1501" i="5"/>
  <c r="V1502" i="5"/>
  <c r="G1503" i="5"/>
  <c r="J1503" i="5"/>
  <c r="H1503" i="5"/>
  <c r="R1503" i="5"/>
  <c r="F1503" i="5"/>
  <c r="I1503" i="5"/>
  <c r="E1503" i="5"/>
  <c r="X1503" i="5"/>
  <c r="G1504" i="5"/>
  <c r="F1504" i="5"/>
  <c r="H1504" i="5"/>
  <c r="I1504" i="5"/>
  <c r="J1504" i="5"/>
  <c r="R1504" i="5"/>
  <c r="E1504" i="5"/>
  <c r="X1504" i="5"/>
  <c r="F1505" i="5"/>
  <c r="R1505" i="5"/>
  <c r="H1505" i="5"/>
  <c r="G1505" i="5"/>
  <c r="I1505" i="5"/>
  <c r="J1505" i="5"/>
  <c r="E1505" i="5"/>
  <c r="X1505" i="5"/>
  <c r="G1506" i="5"/>
  <c r="I1506" i="5"/>
  <c r="J1506" i="5"/>
  <c r="H1506" i="5"/>
  <c r="F1506" i="5"/>
  <c r="R1506" i="5"/>
  <c r="E1506" i="5"/>
  <c r="X1506" i="5"/>
  <c r="G1507" i="5"/>
  <c r="J1507" i="5"/>
  <c r="R1507" i="5"/>
  <c r="F1507" i="5"/>
  <c r="H1507" i="5"/>
  <c r="I1507" i="5"/>
  <c r="E1507" i="5"/>
  <c r="X1507" i="5"/>
  <c r="R1508" i="5"/>
  <c r="I1508" i="5"/>
  <c r="G1508" i="5"/>
  <c r="J1508" i="5"/>
  <c r="F1508" i="5"/>
  <c r="H1508" i="5"/>
  <c r="E1508" i="5"/>
  <c r="X1508" i="5"/>
  <c r="G1509" i="5"/>
  <c r="F1509" i="5"/>
  <c r="H1509" i="5"/>
  <c r="J1509" i="5"/>
  <c r="R1509" i="5"/>
  <c r="I1509" i="5"/>
  <c r="E1509" i="5"/>
  <c r="X1509" i="5"/>
  <c r="F1510" i="5"/>
  <c r="R1510" i="5"/>
  <c r="H1510" i="5"/>
  <c r="I1510" i="5"/>
  <c r="J1510" i="5"/>
  <c r="G1510" i="5"/>
  <c r="E1510" i="5"/>
  <c r="X1510" i="5"/>
  <c r="G1511" i="5"/>
  <c r="J1511" i="5"/>
  <c r="R1511" i="5"/>
  <c r="F1511" i="5"/>
  <c r="I1511" i="5"/>
  <c r="H1511" i="5"/>
  <c r="E1511" i="5"/>
  <c r="X1511" i="5"/>
  <c r="G1512" i="5"/>
  <c r="J1512" i="5"/>
  <c r="R1512" i="5"/>
  <c r="F1512" i="5"/>
  <c r="H1512" i="5"/>
  <c r="I1512" i="5"/>
  <c r="E1512" i="5"/>
  <c r="X1512" i="5"/>
  <c r="V1513" i="5"/>
  <c r="G1514" i="5"/>
  <c r="H1514" i="5"/>
  <c r="R1514" i="5"/>
  <c r="I1514" i="5"/>
  <c r="J1514" i="5"/>
  <c r="F1514" i="5"/>
  <c r="E1514" i="5"/>
  <c r="X1514" i="5"/>
  <c r="G1515" i="5"/>
  <c r="H1515" i="5"/>
  <c r="I1515" i="5"/>
  <c r="R1515" i="5"/>
  <c r="F1515" i="5"/>
  <c r="J1515" i="5"/>
  <c r="E1515" i="5"/>
  <c r="X1515" i="5"/>
  <c r="G1516" i="5"/>
  <c r="F1516" i="5"/>
  <c r="H1516" i="5"/>
  <c r="I1516" i="5"/>
  <c r="J1516" i="5"/>
  <c r="R1516" i="5"/>
  <c r="E1516" i="5"/>
  <c r="X1516" i="5"/>
  <c r="H1517" i="5"/>
  <c r="F1517" i="5"/>
  <c r="J1517" i="5"/>
  <c r="I1517" i="5"/>
  <c r="G1517" i="5"/>
  <c r="R1517" i="5"/>
  <c r="E1517" i="5"/>
  <c r="X1517" i="5"/>
  <c r="G1518" i="5"/>
  <c r="F1518" i="5"/>
  <c r="H1518" i="5"/>
  <c r="I1518" i="5"/>
  <c r="J1518" i="5"/>
  <c r="R1518" i="5"/>
  <c r="E1518" i="5"/>
  <c r="X1518" i="5"/>
  <c r="G1519" i="5"/>
  <c r="H1519" i="5"/>
  <c r="R1519" i="5"/>
  <c r="F1519" i="5"/>
  <c r="J1519" i="5"/>
  <c r="I1519" i="5"/>
  <c r="E1519" i="5"/>
  <c r="X1519" i="5"/>
  <c r="G1520" i="5"/>
  <c r="F1520" i="5"/>
  <c r="H1520" i="5"/>
  <c r="I1520" i="5"/>
  <c r="J1520" i="5"/>
  <c r="R1520" i="5"/>
  <c r="E1520" i="5"/>
  <c r="X1520" i="5"/>
  <c r="H1521" i="5"/>
  <c r="R1521" i="5"/>
  <c r="G1521" i="5"/>
  <c r="J1521" i="5"/>
  <c r="I1521" i="5"/>
  <c r="F1521" i="5"/>
  <c r="E1521" i="5"/>
  <c r="X1521" i="5"/>
  <c r="G1522" i="5"/>
  <c r="F1522" i="5"/>
  <c r="I1522" i="5"/>
  <c r="J1522" i="5"/>
  <c r="R1522" i="5"/>
  <c r="H1522" i="5"/>
  <c r="E1522" i="5"/>
  <c r="X1522" i="5"/>
  <c r="G1523" i="5"/>
  <c r="R1523" i="5"/>
  <c r="F1523" i="5"/>
  <c r="J1523" i="5"/>
  <c r="H1523" i="5"/>
  <c r="I1523" i="5"/>
  <c r="E1523" i="5"/>
  <c r="X1523" i="5"/>
  <c r="G1524" i="5"/>
  <c r="F1524" i="5"/>
  <c r="H1524" i="5"/>
  <c r="I1524" i="5"/>
  <c r="R1524" i="5"/>
  <c r="J1524" i="5"/>
  <c r="E1524" i="5"/>
  <c r="X1524" i="5"/>
  <c r="G1525" i="5"/>
  <c r="H1525" i="5"/>
  <c r="J1525" i="5"/>
  <c r="R1525" i="5"/>
  <c r="I1525" i="5"/>
  <c r="F1525" i="5"/>
  <c r="E1525" i="5"/>
  <c r="X1525" i="5"/>
  <c r="R1526" i="5"/>
  <c r="G1526" i="5"/>
  <c r="I1526" i="5"/>
  <c r="H1526" i="5"/>
  <c r="F1526" i="5"/>
  <c r="J1526" i="5"/>
  <c r="E1526" i="5"/>
  <c r="X1526" i="5"/>
  <c r="G1527" i="5"/>
  <c r="H1527" i="5"/>
  <c r="J1527" i="5"/>
  <c r="R1527" i="5"/>
  <c r="F1527" i="5"/>
  <c r="I1527" i="5"/>
  <c r="E1527" i="5"/>
  <c r="X1527" i="5"/>
  <c r="R1528" i="5"/>
  <c r="J1528" i="5"/>
  <c r="G1528" i="5"/>
  <c r="I1528" i="5"/>
  <c r="H1528" i="5"/>
  <c r="F1528" i="5"/>
  <c r="E1528" i="5"/>
  <c r="X1528" i="5"/>
  <c r="G1529" i="5"/>
  <c r="I1529" i="5"/>
  <c r="H1529" i="5"/>
  <c r="J1529" i="5"/>
  <c r="R1529" i="5"/>
  <c r="F1529" i="5"/>
  <c r="E1529" i="5"/>
  <c r="X1529" i="5"/>
  <c r="G1530" i="5"/>
  <c r="F1530" i="5"/>
  <c r="H1530" i="5"/>
  <c r="R1530" i="5"/>
  <c r="I1530" i="5"/>
  <c r="J1530" i="5"/>
  <c r="E1530" i="5"/>
  <c r="X1530" i="5"/>
  <c r="G1531" i="5"/>
  <c r="J1531" i="5"/>
  <c r="H1531" i="5"/>
  <c r="I1531" i="5"/>
  <c r="R1531" i="5"/>
  <c r="F1531" i="5"/>
  <c r="E1531" i="5"/>
  <c r="X1531" i="5"/>
  <c r="F1532" i="5"/>
  <c r="R1532" i="5"/>
  <c r="G1532" i="5"/>
  <c r="I1532" i="5"/>
  <c r="J1532" i="5"/>
  <c r="H1532" i="5"/>
  <c r="E1532" i="5"/>
  <c r="X1532" i="5"/>
  <c r="F1533" i="5"/>
  <c r="R1533" i="5"/>
  <c r="J1533" i="5"/>
  <c r="H1533" i="5"/>
  <c r="G1533" i="5"/>
  <c r="I1533" i="5"/>
  <c r="E1533" i="5"/>
  <c r="X1533" i="5"/>
  <c r="G1534" i="5"/>
  <c r="H1534" i="5"/>
  <c r="I1534" i="5"/>
  <c r="J1534" i="5"/>
  <c r="F1534" i="5"/>
  <c r="R1534" i="5"/>
  <c r="E1534" i="5"/>
  <c r="X1534" i="5"/>
  <c r="G1535" i="5"/>
  <c r="J1535" i="5"/>
  <c r="H1535" i="5"/>
  <c r="R1535" i="5"/>
  <c r="F1535" i="5"/>
  <c r="I1535" i="5"/>
  <c r="E1535" i="5"/>
  <c r="X1535" i="5"/>
  <c r="G1536" i="5"/>
  <c r="H1536" i="5"/>
  <c r="R1536" i="5"/>
  <c r="J1536" i="5"/>
  <c r="I1536" i="5"/>
  <c r="F1536" i="5"/>
  <c r="E1536" i="5"/>
  <c r="X1536" i="5"/>
  <c r="V1537" i="5"/>
  <c r="G1538" i="5"/>
  <c r="F1538" i="5"/>
  <c r="I1538" i="5"/>
  <c r="J1538" i="5"/>
  <c r="R1538" i="5"/>
  <c r="H1538" i="5"/>
  <c r="E1538" i="5"/>
  <c r="X1538" i="5"/>
  <c r="G1539" i="5"/>
  <c r="R1539" i="5"/>
  <c r="F1539" i="5"/>
  <c r="I1539" i="5"/>
  <c r="J1539" i="5"/>
  <c r="H1539" i="5"/>
  <c r="E1539" i="5"/>
  <c r="X1539" i="5"/>
  <c r="G1540" i="5"/>
  <c r="J1540" i="5"/>
  <c r="R1540" i="5"/>
  <c r="F1540" i="5"/>
  <c r="H1540" i="5"/>
  <c r="I1540" i="5"/>
  <c r="E1540" i="5"/>
  <c r="X1540" i="5"/>
  <c r="G1541" i="5"/>
  <c r="F1541" i="5"/>
  <c r="H1541" i="5"/>
  <c r="I1541" i="5"/>
  <c r="J1541" i="5"/>
  <c r="R1541" i="5"/>
  <c r="E1541" i="5"/>
  <c r="X1541" i="5"/>
  <c r="G1542" i="5"/>
  <c r="F1542" i="5"/>
  <c r="H1542" i="5"/>
  <c r="I1542" i="5"/>
  <c r="J1542" i="5"/>
  <c r="R1542" i="5"/>
  <c r="E1542" i="5"/>
  <c r="X1542" i="5"/>
  <c r="G1543" i="5"/>
  <c r="I1543" i="5"/>
  <c r="J1543" i="5"/>
  <c r="R1543" i="5"/>
  <c r="F1543" i="5"/>
  <c r="H1543" i="5"/>
  <c r="E1543" i="5"/>
  <c r="X1543" i="5"/>
  <c r="G1544" i="5"/>
  <c r="R1544" i="5"/>
  <c r="H1544" i="5"/>
  <c r="F1544" i="5"/>
  <c r="I1544" i="5"/>
  <c r="J1544" i="5"/>
  <c r="E1544" i="5"/>
  <c r="X1544" i="5"/>
  <c r="V1545" i="5"/>
  <c r="G1546" i="5"/>
  <c r="R1546" i="5"/>
  <c r="F1546" i="5"/>
  <c r="I1546" i="5"/>
  <c r="H1546" i="5"/>
  <c r="J1546" i="5"/>
  <c r="E1546" i="5"/>
  <c r="X1546" i="5"/>
  <c r="H1547" i="5"/>
  <c r="J1547" i="5"/>
  <c r="G1547" i="5"/>
  <c r="I1547" i="5"/>
  <c r="F1547" i="5"/>
  <c r="R1547" i="5"/>
  <c r="E1547" i="5"/>
  <c r="X1547" i="5"/>
  <c r="F1548" i="5"/>
  <c r="H1548" i="5"/>
  <c r="R1548" i="5"/>
  <c r="G1548" i="5"/>
  <c r="I1548" i="5"/>
  <c r="J1548" i="5"/>
  <c r="E1548" i="5"/>
  <c r="X1548" i="5"/>
  <c r="G1549" i="5"/>
  <c r="R1549" i="5"/>
  <c r="F1549" i="5"/>
  <c r="H1549" i="5"/>
  <c r="I1549" i="5"/>
  <c r="J1549" i="5"/>
  <c r="E1549" i="5"/>
  <c r="X1549" i="5"/>
  <c r="R1550" i="5"/>
  <c r="J1550" i="5"/>
  <c r="H1550" i="5"/>
  <c r="F1550" i="5"/>
  <c r="G1550" i="5"/>
  <c r="I1550" i="5"/>
  <c r="E1550" i="5"/>
  <c r="X1550" i="5"/>
  <c r="V1551" i="5"/>
  <c r="I1552" i="5"/>
  <c r="J1552" i="5"/>
  <c r="R1552" i="5"/>
  <c r="G1552" i="5"/>
  <c r="H1552" i="5"/>
  <c r="F1552" i="5"/>
  <c r="E1552" i="5"/>
  <c r="X1552" i="5"/>
  <c r="G1553" i="5"/>
  <c r="J1553" i="5"/>
  <c r="I1553" i="5"/>
  <c r="H1553" i="5"/>
  <c r="F1553" i="5"/>
  <c r="R1553" i="5"/>
  <c r="E1553" i="5"/>
  <c r="X1553" i="5"/>
  <c r="G1554" i="5"/>
  <c r="H1554" i="5"/>
  <c r="I1554" i="5"/>
  <c r="J1554" i="5"/>
  <c r="R1554" i="5"/>
  <c r="F1554" i="5"/>
  <c r="E1554" i="5"/>
  <c r="X1554" i="5"/>
  <c r="F1555" i="5"/>
  <c r="G1555" i="5"/>
  <c r="H1555" i="5"/>
  <c r="I1555" i="5"/>
  <c r="J1555" i="5"/>
  <c r="R1555" i="5"/>
  <c r="E1555" i="5"/>
  <c r="X1555" i="5"/>
  <c r="G1556" i="5"/>
  <c r="F1556" i="5"/>
  <c r="H1556" i="5"/>
  <c r="I1556" i="5"/>
  <c r="J1556" i="5"/>
  <c r="R1556" i="5"/>
  <c r="E1556" i="5"/>
  <c r="X1556" i="5"/>
  <c r="G1557" i="5"/>
  <c r="J1557" i="5"/>
  <c r="R1557" i="5"/>
  <c r="H1557" i="5"/>
  <c r="F1557" i="5"/>
  <c r="I1557" i="5"/>
  <c r="E1557" i="5"/>
  <c r="X1557" i="5"/>
  <c r="R1558" i="5"/>
  <c r="J1558" i="5"/>
  <c r="G1558" i="5"/>
  <c r="I1558" i="5"/>
  <c r="H1558" i="5"/>
  <c r="F1558" i="5"/>
  <c r="E1558" i="5"/>
  <c r="X1558" i="5"/>
  <c r="R1559" i="5"/>
  <c r="F1559" i="5"/>
  <c r="H1559" i="5"/>
  <c r="G1559" i="5"/>
  <c r="I1559" i="5"/>
  <c r="J1559" i="5"/>
  <c r="E1559" i="5"/>
  <c r="X1559" i="5"/>
  <c r="F1560" i="5"/>
  <c r="I1560" i="5"/>
  <c r="H1560" i="5"/>
  <c r="G1560" i="5"/>
  <c r="J1560" i="5"/>
  <c r="R1560" i="5"/>
  <c r="E1560" i="5"/>
  <c r="X1560" i="5"/>
  <c r="G1561" i="5"/>
  <c r="J1561" i="5"/>
  <c r="R1561" i="5"/>
  <c r="H1561" i="5"/>
  <c r="F1561" i="5"/>
  <c r="I1561" i="5"/>
  <c r="E1561" i="5"/>
  <c r="X1561" i="5"/>
  <c r="R1562" i="5"/>
  <c r="G1562" i="5"/>
  <c r="F1562" i="5"/>
  <c r="J1562" i="5"/>
  <c r="H1562" i="5"/>
  <c r="I1562" i="5"/>
  <c r="E1562" i="5"/>
  <c r="X1562" i="5"/>
  <c r="G1563" i="5"/>
  <c r="J1563" i="5"/>
  <c r="R1563" i="5"/>
  <c r="F1563" i="5"/>
  <c r="H1563" i="5"/>
  <c r="I1563" i="5"/>
  <c r="E1563" i="5"/>
  <c r="X1563" i="5"/>
  <c r="R1564" i="5"/>
  <c r="H1564" i="5"/>
  <c r="G1564" i="5"/>
  <c r="J1564" i="5"/>
  <c r="I1564" i="5"/>
  <c r="F1564" i="5"/>
  <c r="E1564" i="5"/>
  <c r="X1564" i="5"/>
  <c r="G1565" i="5"/>
  <c r="J1565" i="5"/>
  <c r="R1565" i="5"/>
  <c r="H1565" i="5"/>
  <c r="F1565" i="5"/>
  <c r="I1565" i="5"/>
  <c r="E1565" i="5"/>
  <c r="X1565" i="5"/>
  <c r="H1566" i="5"/>
  <c r="F1566" i="5"/>
  <c r="R1566" i="5"/>
  <c r="I1566" i="5"/>
  <c r="J1566" i="5"/>
  <c r="G1566" i="5"/>
  <c r="E1566" i="5"/>
  <c r="X1566" i="5"/>
  <c r="R1567" i="5"/>
  <c r="F1567" i="5"/>
  <c r="H1567" i="5"/>
  <c r="J1567" i="5"/>
  <c r="G1567" i="5"/>
  <c r="I1567" i="5"/>
  <c r="E1567" i="5"/>
  <c r="X1567" i="5"/>
  <c r="I1568" i="5"/>
  <c r="R1568" i="5"/>
  <c r="H1568" i="5"/>
  <c r="G1568" i="5"/>
  <c r="J1568" i="5"/>
  <c r="F1568" i="5"/>
  <c r="E1568" i="5"/>
  <c r="X1568" i="5"/>
  <c r="G1569" i="5"/>
  <c r="J1569" i="5"/>
  <c r="R1569" i="5"/>
  <c r="H1569" i="5"/>
  <c r="F1569" i="5"/>
  <c r="I1569" i="5"/>
  <c r="E1569" i="5"/>
  <c r="X1569" i="5"/>
  <c r="G1570" i="5"/>
  <c r="H1570" i="5"/>
  <c r="I1570" i="5"/>
  <c r="J1570" i="5"/>
  <c r="R1570" i="5"/>
  <c r="F1570" i="5"/>
  <c r="E1570" i="5"/>
  <c r="X1570" i="5"/>
  <c r="R1571" i="5"/>
  <c r="J1571" i="5"/>
  <c r="I1571" i="5"/>
  <c r="H1571" i="5"/>
  <c r="G1571" i="5"/>
  <c r="F1571" i="5"/>
  <c r="E1571" i="5"/>
  <c r="X1571" i="5"/>
  <c r="H1572" i="5"/>
  <c r="J1572" i="5"/>
  <c r="F1572" i="5"/>
  <c r="R1572" i="5"/>
  <c r="G1572" i="5"/>
  <c r="I1572" i="5"/>
  <c r="E1572" i="5"/>
  <c r="X1572" i="5"/>
  <c r="G1573" i="5"/>
  <c r="J1573" i="5"/>
  <c r="R1573" i="5"/>
  <c r="H1573" i="5"/>
  <c r="F1573" i="5"/>
  <c r="I1573" i="5"/>
  <c r="E1573" i="5"/>
  <c r="X1573" i="5"/>
  <c r="I1574" i="5"/>
  <c r="J1574" i="5"/>
  <c r="R1574" i="5"/>
  <c r="G1574" i="5"/>
  <c r="H1574" i="5"/>
  <c r="F1574" i="5"/>
  <c r="E1574" i="5"/>
  <c r="X1574" i="5"/>
  <c r="J1575" i="5"/>
  <c r="F1575" i="5"/>
  <c r="H1575" i="5"/>
  <c r="G1575" i="5"/>
  <c r="R1575" i="5"/>
  <c r="I1575" i="5"/>
  <c r="E1575" i="5"/>
  <c r="X1575" i="5"/>
  <c r="G1576" i="5"/>
  <c r="F1576" i="5"/>
  <c r="H1576" i="5"/>
  <c r="I1576" i="5"/>
  <c r="J1576" i="5"/>
  <c r="R1576" i="5"/>
  <c r="E1576" i="5"/>
  <c r="X1576" i="5"/>
  <c r="G1577" i="5"/>
  <c r="F1577" i="5"/>
  <c r="H1577" i="5"/>
  <c r="J1577" i="5"/>
  <c r="R1577" i="5"/>
  <c r="I1577" i="5"/>
  <c r="E1577" i="5"/>
  <c r="X1577" i="5"/>
  <c r="I1578" i="5"/>
  <c r="H1578" i="5"/>
  <c r="F1578" i="5"/>
  <c r="G1578" i="5"/>
  <c r="J1578" i="5"/>
  <c r="R1578" i="5"/>
  <c r="E1578" i="5"/>
  <c r="X1578" i="5"/>
  <c r="H1579" i="5"/>
  <c r="F1579" i="5"/>
  <c r="R1579" i="5"/>
  <c r="J1579" i="5"/>
  <c r="G1579" i="5"/>
  <c r="I1579" i="5"/>
  <c r="E1579" i="5"/>
  <c r="X1579" i="5"/>
  <c r="R1580" i="5"/>
  <c r="I1580" i="5"/>
  <c r="G1580" i="5"/>
  <c r="H1580" i="5"/>
  <c r="F1580" i="5"/>
  <c r="J1580" i="5"/>
  <c r="E1580" i="5"/>
  <c r="X1580" i="5"/>
  <c r="G1581" i="5"/>
  <c r="J1581" i="5"/>
  <c r="R1581" i="5"/>
  <c r="H1581" i="5"/>
  <c r="F1581" i="5"/>
  <c r="I1581" i="5"/>
  <c r="E1581" i="5"/>
  <c r="X1581" i="5"/>
  <c r="R1582" i="5"/>
  <c r="H1582" i="5"/>
  <c r="G1582" i="5"/>
  <c r="F1582" i="5"/>
  <c r="J1582" i="5"/>
  <c r="I1582" i="5"/>
  <c r="E1582" i="5"/>
  <c r="X1582" i="5"/>
  <c r="I1583" i="5"/>
  <c r="R1583" i="5"/>
  <c r="F1583" i="5"/>
  <c r="G1583" i="5"/>
  <c r="H1583" i="5"/>
  <c r="J1583" i="5"/>
  <c r="E1583" i="5"/>
  <c r="X1583" i="5"/>
  <c r="R1584" i="5"/>
  <c r="F1584" i="5"/>
  <c r="G1584" i="5"/>
  <c r="H1584" i="5"/>
  <c r="J1584" i="5"/>
  <c r="I1584" i="5"/>
  <c r="E1584" i="5"/>
  <c r="X1584" i="5"/>
  <c r="G1585" i="5"/>
  <c r="J1585" i="5"/>
  <c r="R1585" i="5"/>
  <c r="H1585" i="5"/>
  <c r="F1585" i="5"/>
  <c r="I1585" i="5"/>
  <c r="E1585" i="5"/>
  <c r="X1585" i="5"/>
  <c r="G1586" i="5"/>
  <c r="H1586" i="5"/>
  <c r="I1586" i="5"/>
  <c r="J1586" i="5"/>
  <c r="R1586" i="5"/>
  <c r="F1586" i="5"/>
  <c r="E1586" i="5"/>
  <c r="X1586" i="5"/>
  <c r="F1587" i="5"/>
  <c r="J1587" i="5"/>
  <c r="R1587" i="5"/>
  <c r="G1587" i="5"/>
  <c r="H1587" i="5"/>
  <c r="I1587" i="5"/>
  <c r="E1587" i="5"/>
  <c r="X1587" i="5"/>
  <c r="F1588" i="5"/>
  <c r="R1588" i="5"/>
  <c r="H1588" i="5"/>
  <c r="G1588" i="5"/>
  <c r="I1588" i="5"/>
  <c r="J1588" i="5"/>
  <c r="E1588" i="5"/>
  <c r="X1588" i="5"/>
  <c r="G1589" i="5"/>
  <c r="J1589" i="5"/>
  <c r="R1589" i="5"/>
  <c r="H1589" i="5"/>
  <c r="F1589" i="5"/>
  <c r="I1589" i="5"/>
  <c r="E1589" i="5"/>
  <c r="X1589" i="5"/>
  <c r="J1590" i="5"/>
  <c r="H1590" i="5"/>
  <c r="R1590" i="5"/>
  <c r="F1590" i="5"/>
  <c r="G1590" i="5"/>
  <c r="I1590" i="5"/>
  <c r="E1590" i="5"/>
  <c r="X1590" i="5"/>
  <c r="J1591" i="5"/>
  <c r="G1591" i="5"/>
  <c r="R1591" i="5"/>
  <c r="I1591" i="5"/>
  <c r="H1591" i="5"/>
  <c r="F1591" i="5"/>
  <c r="E1591" i="5"/>
  <c r="X1591" i="5"/>
  <c r="F1592" i="5"/>
  <c r="G1592" i="5"/>
  <c r="J1592" i="5"/>
  <c r="R1592" i="5"/>
  <c r="I1592" i="5"/>
  <c r="H1592" i="5"/>
  <c r="E1592" i="5"/>
  <c r="X1592" i="5"/>
  <c r="G1593" i="5"/>
  <c r="R1593" i="5"/>
  <c r="H1593" i="5"/>
  <c r="F1593" i="5"/>
  <c r="J1593" i="5"/>
  <c r="I1593" i="5"/>
  <c r="E1593" i="5"/>
  <c r="X1593" i="5"/>
  <c r="J1594" i="5"/>
  <c r="I1594" i="5"/>
  <c r="H1594" i="5"/>
  <c r="F1594" i="5"/>
  <c r="R1594" i="5"/>
  <c r="G1594" i="5"/>
  <c r="E1594" i="5"/>
  <c r="X1594" i="5"/>
  <c r="G1595" i="5"/>
  <c r="J1595" i="5"/>
  <c r="R1595" i="5"/>
  <c r="F1595" i="5"/>
  <c r="H1595" i="5"/>
  <c r="I1595" i="5"/>
  <c r="E1595" i="5"/>
  <c r="X1595" i="5"/>
  <c r="F1596" i="5"/>
  <c r="J1596" i="5"/>
  <c r="R1596" i="5"/>
  <c r="G1596" i="5"/>
  <c r="H1596" i="5"/>
  <c r="I1596" i="5"/>
  <c r="E1596" i="5"/>
  <c r="X1596" i="5"/>
  <c r="G1597" i="5"/>
  <c r="J1597" i="5"/>
  <c r="R1597" i="5"/>
  <c r="H1597" i="5"/>
  <c r="F1597" i="5"/>
  <c r="I1597" i="5"/>
  <c r="E1597" i="5"/>
  <c r="X1597" i="5"/>
  <c r="H1598" i="5"/>
  <c r="F1598" i="5"/>
  <c r="R1598" i="5"/>
  <c r="J1598" i="5"/>
  <c r="G1598" i="5"/>
  <c r="I1598" i="5"/>
  <c r="E1598" i="5"/>
  <c r="X1598" i="5"/>
  <c r="F1599" i="5"/>
  <c r="H1599" i="5"/>
  <c r="J1599" i="5"/>
  <c r="R1599" i="5"/>
  <c r="I1599" i="5"/>
  <c r="G1599" i="5"/>
  <c r="E1599" i="5"/>
  <c r="X1599" i="5"/>
  <c r="V1600" i="5"/>
  <c r="G1601" i="5"/>
  <c r="J1601" i="5"/>
  <c r="R1601" i="5"/>
  <c r="H1601" i="5"/>
  <c r="F1601" i="5"/>
  <c r="I1601" i="5"/>
  <c r="E1601" i="5"/>
  <c r="X1601" i="5"/>
  <c r="G1602" i="5"/>
  <c r="H1602" i="5"/>
  <c r="I1602" i="5"/>
  <c r="J1602" i="5"/>
  <c r="R1602" i="5"/>
  <c r="F1602" i="5"/>
  <c r="E1602" i="5"/>
  <c r="X1602" i="5"/>
  <c r="J1603" i="5"/>
  <c r="I1603" i="5"/>
  <c r="R1603" i="5"/>
  <c r="F1603" i="5"/>
  <c r="H1603" i="5"/>
  <c r="G1603" i="5"/>
  <c r="E1603" i="5"/>
  <c r="X1603" i="5"/>
  <c r="I1604" i="5"/>
  <c r="R1604" i="5"/>
  <c r="H1604" i="5"/>
  <c r="F1604" i="5"/>
  <c r="J1604" i="5"/>
  <c r="G1604" i="5"/>
  <c r="E1604" i="5"/>
  <c r="X1604" i="5"/>
  <c r="G1605" i="5"/>
  <c r="J1605" i="5"/>
  <c r="R1605" i="5"/>
  <c r="H1605" i="5"/>
  <c r="F1605" i="5"/>
  <c r="I1605" i="5"/>
  <c r="E1605" i="5"/>
  <c r="X1605" i="5"/>
  <c r="I1606" i="5"/>
  <c r="H1606" i="5"/>
  <c r="F1606" i="5"/>
  <c r="J1606" i="5"/>
  <c r="G1606" i="5"/>
  <c r="R1606" i="5"/>
  <c r="E1606" i="5"/>
  <c r="X1606" i="5"/>
  <c r="I1607" i="5"/>
  <c r="F1607" i="5"/>
  <c r="G1607" i="5"/>
  <c r="H1607" i="5"/>
  <c r="R1607" i="5"/>
  <c r="J1607" i="5"/>
  <c r="E1607" i="5"/>
  <c r="X1607" i="5"/>
  <c r="H1608" i="5"/>
  <c r="G1608" i="5"/>
  <c r="R1608" i="5"/>
  <c r="I1608" i="5"/>
  <c r="J1608" i="5"/>
  <c r="F1608" i="5"/>
  <c r="E1608" i="5"/>
  <c r="X1608" i="5"/>
  <c r="F1609" i="5"/>
  <c r="J1609" i="5"/>
  <c r="R1609" i="5"/>
  <c r="G1609" i="5"/>
  <c r="H1609" i="5"/>
  <c r="I1609" i="5"/>
  <c r="E1609" i="5"/>
  <c r="X1609" i="5"/>
  <c r="R1610" i="5"/>
  <c r="F1610" i="5"/>
  <c r="G1610" i="5"/>
  <c r="H1610" i="5"/>
  <c r="I1610" i="5"/>
  <c r="J1610" i="5"/>
  <c r="E1610" i="5"/>
  <c r="X1610" i="5"/>
  <c r="I1611" i="5"/>
  <c r="J1611" i="5"/>
  <c r="H1611" i="5"/>
  <c r="F1611" i="5"/>
  <c r="G1611" i="5"/>
  <c r="R1611" i="5"/>
  <c r="E1611" i="5"/>
  <c r="X1611" i="5"/>
  <c r="H1612" i="5"/>
  <c r="G1612" i="5"/>
  <c r="J1612" i="5"/>
  <c r="I1612" i="5"/>
  <c r="R1612" i="5"/>
  <c r="F1612" i="5"/>
  <c r="E1612" i="5"/>
  <c r="X1612" i="5"/>
  <c r="G1613" i="5"/>
  <c r="J1613" i="5"/>
  <c r="R1613" i="5"/>
  <c r="H1613" i="5"/>
  <c r="F1613" i="5"/>
  <c r="I1613" i="5"/>
  <c r="E1613" i="5"/>
  <c r="X1613" i="5"/>
  <c r="F1614" i="5"/>
  <c r="R1614" i="5"/>
  <c r="G1614" i="5"/>
  <c r="H1614" i="5"/>
  <c r="I1614" i="5"/>
  <c r="J1614" i="5"/>
  <c r="E1614" i="5"/>
  <c r="X1614" i="5"/>
  <c r="I1615" i="5"/>
  <c r="F1615" i="5"/>
  <c r="H1615" i="5"/>
  <c r="J1615" i="5"/>
  <c r="G1615" i="5"/>
  <c r="R1615" i="5"/>
  <c r="E1615" i="5"/>
  <c r="X1615" i="5"/>
  <c r="J1616" i="5"/>
  <c r="R1616" i="5"/>
  <c r="I1616" i="5"/>
  <c r="G1616" i="5"/>
  <c r="F1616" i="5"/>
  <c r="H1616" i="5"/>
  <c r="E1616" i="5"/>
  <c r="X1616" i="5"/>
  <c r="G1617" i="5"/>
  <c r="J1617" i="5"/>
  <c r="R1617" i="5"/>
  <c r="H1617" i="5"/>
  <c r="F1617" i="5"/>
  <c r="I1617" i="5"/>
  <c r="E1617" i="5"/>
  <c r="X1617" i="5"/>
  <c r="G1618" i="5"/>
  <c r="H1618" i="5"/>
  <c r="I1618" i="5"/>
  <c r="J1618" i="5"/>
  <c r="R1618" i="5"/>
  <c r="F1618" i="5"/>
  <c r="E1618" i="5"/>
  <c r="X1618" i="5"/>
  <c r="F1619" i="5"/>
  <c r="H1619" i="5"/>
  <c r="J1619" i="5"/>
  <c r="R1619" i="5"/>
  <c r="G1619" i="5"/>
  <c r="I1619" i="5"/>
  <c r="E1619" i="5"/>
  <c r="X1619" i="5"/>
  <c r="G1620" i="5"/>
  <c r="F1620" i="5"/>
  <c r="H1620" i="5"/>
  <c r="I1620" i="5"/>
  <c r="J1620" i="5"/>
  <c r="R1620" i="5"/>
  <c r="E1620" i="5"/>
  <c r="X1620" i="5"/>
  <c r="G1621" i="5"/>
  <c r="J1621" i="5"/>
  <c r="R1621" i="5"/>
  <c r="H1621" i="5"/>
  <c r="F1621" i="5"/>
  <c r="I1621" i="5"/>
  <c r="E1621" i="5"/>
  <c r="X1621" i="5"/>
  <c r="H1622" i="5"/>
  <c r="F1622" i="5"/>
  <c r="G1622" i="5"/>
  <c r="I1622" i="5"/>
  <c r="J1622" i="5"/>
  <c r="R1622" i="5"/>
  <c r="E1622" i="5"/>
  <c r="X1622" i="5"/>
  <c r="J1623" i="5"/>
  <c r="H1623" i="5"/>
  <c r="I1623" i="5"/>
  <c r="G1623" i="5"/>
  <c r="R1623" i="5"/>
  <c r="F1623" i="5"/>
  <c r="E1623" i="5"/>
  <c r="X1623" i="5"/>
  <c r="F1624" i="5"/>
  <c r="I1624" i="5"/>
  <c r="R1624" i="5"/>
  <c r="J1624" i="5"/>
  <c r="G1624" i="5"/>
  <c r="H1624" i="5"/>
  <c r="E1624" i="5"/>
  <c r="X1624" i="5"/>
  <c r="G1625" i="5"/>
  <c r="R1625" i="5"/>
  <c r="J1625" i="5"/>
  <c r="I1625" i="5"/>
  <c r="F1625" i="5"/>
  <c r="H1625" i="5"/>
  <c r="E1625" i="5"/>
  <c r="X1625" i="5"/>
  <c r="R1626" i="5"/>
  <c r="G1626" i="5"/>
  <c r="J1626" i="5"/>
  <c r="I1626" i="5"/>
  <c r="F1626" i="5"/>
  <c r="H1626" i="5"/>
  <c r="E1626" i="5"/>
  <c r="X1626" i="5"/>
  <c r="H1627" i="5"/>
  <c r="F1627" i="5"/>
  <c r="G1627" i="5"/>
  <c r="R1627" i="5"/>
  <c r="I1627" i="5"/>
  <c r="J1627" i="5"/>
  <c r="E1627" i="5"/>
  <c r="X1627" i="5"/>
  <c r="G1628" i="5"/>
  <c r="H1628" i="5"/>
  <c r="I1628" i="5"/>
  <c r="J1628" i="5"/>
  <c r="R1628" i="5"/>
  <c r="F1628" i="5"/>
  <c r="E1628" i="5"/>
  <c r="X1628" i="5"/>
  <c r="G1629" i="5"/>
  <c r="R1629" i="5"/>
  <c r="J1629" i="5"/>
  <c r="F1629" i="5"/>
  <c r="H1629" i="5"/>
  <c r="I1629" i="5"/>
  <c r="E1629" i="5"/>
  <c r="X1629" i="5"/>
  <c r="J1630" i="5"/>
  <c r="H1630" i="5"/>
  <c r="I1630" i="5"/>
  <c r="R1630" i="5"/>
  <c r="G1630" i="5"/>
  <c r="F1630" i="5"/>
  <c r="E1630" i="5"/>
  <c r="X1630" i="5"/>
  <c r="G1631" i="5"/>
  <c r="F1631" i="5"/>
  <c r="H1631" i="5"/>
  <c r="I1631" i="5"/>
  <c r="J1631" i="5"/>
  <c r="R1631" i="5"/>
  <c r="E1631" i="5"/>
  <c r="X1631" i="5"/>
  <c r="G1632" i="5"/>
  <c r="F1632" i="5"/>
  <c r="H1632" i="5"/>
  <c r="I1632" i="5"/>
  <c r="J1632" i="5"/>
  <c r="R1632" i="5"/>
  <c r="E1632" i="5"/>
  <c r="X1632" i="5"/>
  <c r="F1633" i="5"/>
  <c r="I1633" i="5"/>
  <c r="J1633" i="5"/>
  <c r="G1633" i="5"/>
  <c r="R1633" i="5"/>
  <c r="H1633" i="5"/>
  <c r="E1633" i="5"/>
  <c r="X1633" i="5"/>
  <c r="G1634" i="5"/>
  <c r="J1634" i="5"/>
  <c r="R1634" i="5"/>
  <c r="F1634" i="5"/>
  <c r="H1634" i="5"/>
  <c r="I1634" i="5"/>
  <c r="E1634" i="5"/>
  <c r="X1634" i="5"/>
  <c r="F1635" i="5"/>
  <c r="R1635" i="5"/>
  <c r="I1635" i="5"/>
  <c r="J1635" i="5"/>
  <c r="G1635" i="5"/>
  <c r="H1635" i="5"/>
  <c r="E1635" i="5"/>
  <c r="X1635" i="5"/>
  <c r="G1636" i="5"/>
  <c r="H1636" i="5"/>
  <c r="I1636" i="5"/>
  <c r="J1636" i="5"/>
  <c r="R1636" i="5"/>
  <c r="F1636" i="5"/>
  <c r="E1636" i="5"/>
  <c r="X1636" i="5"/>
  <c r="I1637" i="5"/>
  <c r="G1637" i="5"/>
  <c r="R1637" i="5"/>
  <c r="J1637" i="5"/>
  <c r="H1637" i="5"/>
  <c r="F1637" i="5"/>
  <c r="E1637" i="5"/>
  <c r="X1637" i="5"/>
  <c r="G1638" i="5"/>
  <c r="I1638" i="5"/>
  <c r="J1638" i="5"/>
  <c r="R1638" i="5"/>
  <c r="H1638" i="5"/>
  <c r="F1638" i="5"/>
  <c r="E1638" i="5"/>
  <c r="X1638" i="5"/>
  <c r="H1639" i="5"/>
  <c r="F1639" i="5"/>
  <c r="I1639" i="5"/>
  <c r="G1639" i="5"/>
  <c r="J1639" i="5"/>
  <c r="R1639" i="5"/>
  <c r="E1639" i="5"/>
  <c r="X1639" i="5"/>
  <c r="G1640" i="5"/>
  <c r="F1640" i="5"/>
  <c r="H1640" i="5"/>
  <c r="I1640" i="5"/>
  <c r="J1640" i="5"/>
  <c r="R1640" i="5"/>
  <c r="E1640" i="5"/>
  <c r="X1640" i="5"/>
  <c r="J1641" i="5"/>
  <c r="I1641" i="5"/>
  <c r="R1641" i="5"/>
  <c r="H1641" i="5"/>
  <c r="G1641" i="5"/>
  <c r="F1641" i="5"/>
  <c r="E1641" i="5"/>
  <c r="X1641" i="5"/>
  <c r="F1642" i="5"/>
  <c r="J1642" i="5"/>
  <c r="H1642" i="5"/>
  <c r="G1642" i="5"/>
  <c r="R1642" i="5"/>
  <c r="I1642" i="5"/>
  <c r="E1642" i="5"/>
  <c r="X1642" i="5"/>
  <c r="G1643" i="5"/>
  <c r="F1643" i="5"/>
  <c r="H1643" i="5"/>
  <c r="I1643" i="5"/>
  <c r="J1643" i="5"/>
  <c r="R1643" i="5"/>
  <c r="E1643" i="5"/>
  <c r="X1643" i="5"/>
  <c r="I1644" i="5"/>
  <c r="J1644" i="5"/>
  <c r="R1644" i="5"/>
  <c r="F1644" i="5"/>
  <c r="H1644" i="5"/>
  <c r="G1644" i="5"/>
  <c r="E1644" i="5"/>
  <c r="X1644" i="5"/>
  <c r="G1645" i="5"/>
  <c r="H1645" i="5"/>
  <c r="F1645" i="5"/>
  <c r="R1645" i="5"/>
  <c r="I1645" i="5"/>
  <c r="J1645" i="5"/>
  <c r="E1645" i="5"/>
  <c r="X1645" i="5"/>
  <c r="F1646" i="5"/>
  <c r="G1646" i="5"/>
  <c r="H1646" i="5"/>
  <c r="R1646" i="5"/>
  <c r="J1646" i="5"/>
  <c r="I1646" i="5"/>
  <c r="E1646" i="5"/>
  <c r="X1646" i="5"/>
  <c r="F1647" i="5"/>
  <c r="H1647" i="5"/>
  <c r="R1647" i="5"/>
  <c r="J1647" i="5"/>
  <c r="G1647" i="5"/>
  <c r="I1647" i="5"/>
  <c r="E1647" i="5"/>
  <c r="X1647" i="5"/>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c r="AB2409" i="5"/>
  <c r="V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AB2440" i="5"/>
  <c r="V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c r="R2459" i="5"/>
  <c r="F2459" i="5"/>
  <c r="G2459" i="5"/>
  <c r="I2459" i="5"/>
  <c r="J2459" i="5"/>
  <c r="H2459" i="5"/>
  <c r="E2459" i="5"/>
  <c r="X2459" i="5"/>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G2464" i="5"/>
  <c r="R2464" i="5"/>
  <c r="H2464" i="5"/>
  <c r="F2464" i="5"/>
  <c r="I2464" i="5"/>
  <c r="J2464" i="5"/>
  <c r="E2464" i="5"/>
  <c r="X2464" i="5"/>
  <c r="AB2465" i="5"/>
  <c r="V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c r="AB2470" i="5"/>
  <c r="V2470" i="5"/>
  <c r="I2471" i="5"/>
  <c r="G2471" i="5"/>
  <c r="J2471" i="5"/>
  <c r="R2471" i="5"/>
  <c r="F2471" i="5"/>
  <c r="H2471" i="5"/>
  <c r="E2471" i="5"/>
  <c r="X2471" i="5"/>
  <c r="R2472" i="5"/>
  <c r="G2472" i="5"/>
  <c r="F2472" i="5"/>
  <c r="I2472" i="5"/>
  <c r="J2472" i="5"/>
  <c r="H2472" i="5"/>
  <c r="E2472" i="5"/>
  <c r="X2472" i="5"/>
  <c r="J2473" i="5"/>
  <c r="G2473" i="5"/>
  <c r="F2473" i="5"/>
  <c r="H2473" i="5"/>
  <c r="I2473" i="5"/>
  <c r="R2473" i="5"/>
  <c r="E2473" i="5"/>
  <c r="X2473" i="5"/>
  <c r="R2474" i="5"/>
  <c r="G2474" i="5"/>
  <c r="F2474" i="5"/>
  <c r="J2474" i="5"/>
  <c r="I2474" i="5"/>
  <c r="H2474" i="5"/>
  <c r="E2474" i="5"/>
  <c r="X2474" i="5"/>
  <c r="I2475" i="5"/>
  <c r="G2475" i="5"/>
  <c r="F2475" i="5"/>
  <c r="J2475" i="5"/>
  <c r="R2475" i="5"/>
  <c r="H2475" i="5"/>
  <c r="E2475" i="5"/>
  <c r="X2475" i="5"/>
  <c r="V2476" i="5"/>
  <c r="AB2476" i="5"/>
  <c r="F2477" i="5"/>
  <c r="R2477" i="5"/>
  <c r="G2477" i="5"/>
  <c r="I2477" i="5"/>
  <c r="H2477" i="5"/>
  <c r="J2477" i="5"/>
  <c r="E2477" i="5"/>
  <c r="X2477" i="5"/>
  <c r="J2478" i="5"/>
  <c r="R2478" i="5"/>
  <c r="H2478" i="5"/>
  <c r="G2478" i="5"/>
  <c r="I2478" i="5"/>
  <c r="F2478" i="5"/>
  <c r="E2478" i="5"/>
  <c r="X2478" i="5"/>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c r="G2483" i="5"/>
  <c r="F2483" i="5"/>
  <c r="H2483" i="5"/>
  <c r="R2483" i="5"/>
  <c r="I2483" i="5"/>
  <c r="J2483" i="5"/>
  <c r="E2483" i="5"/>
  <c r="X2483" i="5"/>
  <c r="G2484" i="5"/>
  <c r="I2484" i="5"/>
  <c r="J2484" i="5"/>
  <c r="F2484" i="5"/>
  <c r="H2484" i="5"/>
  <c r="R2484" i="5"/>
  <c r="E2484" i="5"/>
  <c r="X2484" i="5"/>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c r="H2488" i="5"/>
  <c r="F2488" i="5"/>
  <c r="G2488" i="5"/>
  <c r="J2488" i="5"/>
  <c r="R2488" i="5"/>
  <c r="I2488" i="5"/>
  <c r="E2488" i="5"/>
  <c r="X2488" i="5"/>
  <c r="G2489" i="5"/>
  <c r="J2489" i="5"/>
  <c r="R2489" i="5"/>
  <c r="H2489" i="5"/>
  <c r="I2489" i="5"/>
  <c r="F2489" i="5"/>
  <c r="E2489" i="5"/>
  <c r="X2489" i="5"/>
  <c r="I2490" i="5"/>
  <c r="H2490" i="5"/>
  <c r="G2490" i="5"/>
  <c r="J2490" i="5"/>
  <c r="F2490" i="5"/>
  <c r="R2490" i="5"/>
  <c r="E2490" i="5"/>
  <c r="X2490" i="5"/>
  <c r="J2491" i="5"/>
  <c r="I2491" i="5"/>
  <c r="F2491" i="5"/>
  <c r="G2491" i="5"/>
  <c r="H2491" i="5"/>
  <c r="R2491" i="5"/>
  <c r="E2491" i="5"/>
  <c r="X2491" i="5"/>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R9" i="5"/>
  <c r="F9" i="5"/>
  <c r="I9" i="5"/>
  <c r="H9" i="5"/>
  <c r="H10" i="5"/>
  <c r="I10" i="5"/>
  <c r="F10" i="5"/>
  <c r="R10" i="5"/>
  <c r="F11" i="5"/>
  <c r="R11" i="5"/>
  <c r="H11" i="5"/>
  <c r="I11" i="5"/>
  <c r="R12" i="5"/>
  <c r="I12" i="5"/>
  <c r="H12" i="5"/>
  <c r="F12" i="5"/>
  <c r="F13" i="5"/>
  <c r="H13" i="5"/>
  <c r="R13" i="5"/>
  <c r="I13" i="5"/>
  <c r="F14" i="5"/>
  <c r="H14" i="5"/>
  <c r="I14" i="5"/>
  <c r="R14" i="5"/>
  <c r="I15" i="5"/>
  <c r="H15" i="5"/>
  <c r="R15" i="5"/>
  <c r="F15" i="5"/>
  <c r="R16" i="5"/>
  <c r="I16" i="5"/>
  <c r="H16" i="5"/>
  <c r="F16" i="5"/>
  <c r="I17" i="5"/>
  <c r="F17" i="5"/>
  <c r="H17" i="5"/>
  <c r="R17" i="5"/>
  <c r="R18" i="5"/>
  <c r="I18" i="5"/>
  <c r="R19" i="5"/>
  <c r="H19" i="5"/>
  <c r="F19" i="5"/>
  <c r="H21" i="5"/>
  <c r="I21" i="5"/>
  <c r="R22" i="5"/>
  <c r="I22" i="5"/>
  <c r="F23" i="5"/>
  <c r="I23" i="5"/>
  <c r="H23" i="5"/>
  <c r="R23" i="5"/>
  <c r="I24" i="5"/>
  <c r="H24" i="5"/>
  <c r="R24" i="5"/>
  <c r="F25" i="5"/>
  <c r="R25" i="5"/>
  <c r="I25" i="5"/>
  <c r="H25" i="5"/>
  <c r="R26" i="5"/>
  <c r="I26" i="5"/>
  <c r="F27" i="5"/>
  <c r="R27" i="5"/>
  <c r="H27" i="5"/>
  <c r="I29" i="5"/>
  <c r="H29" i="5"/>
  <c r="I30" i="5"/>
  <c r="R30" i="5"/>
  <c r="H31" i="5"/>
  <c r="R31" i="5"/>
  <c r="F31" i="5"/>
  <c r="I31" i="5"/>
  <c r="H32" i="5"/>
  <c r="I32" i="5"/>
  <c r="R32" i="5"/>
  <c r="I33" i="5"/>
  <c r="R33" i="5"/>
  <c r="H34" i="5"/>
  <c r="R34" i="5"/>
  <c r="I34" i="5"/>
  <c r="F35" i="5"/>
  <c r="H35" i="5"/>
  <c r="R35" i="5"/>
  <c r="I35" i="5"/>
  <c r="R37" i="5"/>
  <c r="I37" i="5"/>
  <c r="H38" i="5"/>
  <c r="I38" i="5"/>
  <c r="R38" i="5"/>
  <c r="I39" i="5"/>
  <c r="R39" i="5"/>
  <c r="F39" i="5"/>
  <c r="H39" i="5"/>
  <c r="R41" i="5"/>
  <c r="I41" i="5"/>
  <c r="R42" i="5"/>
  <c r="H42" i="5"/>
  <c r="I42" i="5"/>
  <c r="R45" i="5"/>
  <c r="I45" i="5"/>
  <c r="R46" i="5"/>
  <c r="I46" i="5"/>
  <c r="H46" i="5"/>
  <c r="F47" i="5"/>
  <c r="J47" i="5"/>
  <c r="R47" i="5"/>
  <c r="H47" i="5"/>
  <c r="I47" i="5"/>
  <c r="E49" i="5"/>
  <c r="X49" i="5"/>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c r="I61" i="5"/>
  <c r="R61" i="5"/>
  <c r="I62" i="5"/>
  <c r="R62" i="5"/>
  <c r="E62" i="5"/>
  <c r="X62" i="5"/>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c r="I79" i="5"/>
  <c r="R79" i="5"/>
  <c r="J79" i="5"/>
  <c r="F79" i="5"/>
  <c r="H79" i="5"/>
  <c r="I81" i="5"/>
  <c r="R81" i="5"/>
  <c r="H82" i="5"/>
  <c r="I82" i="5"/>
  <c r="R82" i="5"/>
  <c r="F83" i="5"/>
  <c r="I83" i="5"/>
  <c r="J83" i="5"/>
  <c r="H83" i="5"/>
  <c r="R83" i="5"/>
  <c r="R85" i="5"/>
  <c r="I85" i="5"/>
  <c r="I86" i="5"/>
  <c r="H86" i="5"/>
  <c r="R86" i="5"/>
  <c r="R89" i="5"/>
  <c r="I89" i="5"/>
  <c r="R90" i="5"/>
  <c r="H90" i="5"/>
  <c r="I90" i="5"/>
  <c r="E92" i="5"/>
  <c r="X92" i="5"/>
  <c r="R92" i="5"/>
  <c r="I93" i="5"/>
  <c r="R93" i="5"/>
  <c r="E93" i="5"/>
  <c r="X93" i="5"/>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c r="I122" i="5"/>
  <c r="E122" i="5"/>
  <c r="X122" i="5"/>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c r="H155" i="5"/>
  <c r="R155" i="5"/>
  <c r="J155" i="5"/>
  <c r="I155" i="5"/>
  <c r="F155" i="5"/>
  <c r="H158" i="5"/>
  <c r="I158" i="5"/>
  <c r="H159" i="5"/>
  <c r="R159" i="5"/>
  <c r="J159" i="5"/>
  <c r="I159" i="5"/>
  <c r="F159" i="5"/>
  <c r="R161" i="5"/>
  <c r="E161" i="5"/>
  <c r="X161" i="5"/>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c r="H169" i="5"/>
  <c r="I169" i="5"/>
  <c r="I170" i="5"/>
  <c r="E170" i="5"/>
  <c r="X170" i="5"/>
  <c r="I171" i="5"/>
  <c r="H171" i="5"/>
  <c r="F171" i="5"/>
  <c r="R171" i="5"/>
  <c r="J171" i="5"/>
  <c r="F173" i="5"/>
  <c r="R173" i="5"/>
  <c r="I174" i="5"/>
  <c r="H174" i="5"/>
  <c r="F177" i="5"/>
  <c r="R177" i="5"/>
  <c r="J179" i="5"/>
  <c r="H179" i="5"/>
  <c r="F179" i="5"/>
  <c r="R179" i="5"/>
  <c r="I179" i="5"/>
  <c r="I182" i="5"/>
  <c r="E182" i="5"/>
  <c r="X182" i="5"/>
  <c r="I183" i="5"/>
  <c r="J183" i="5"/>
  <c r="F183" i="5"/>
  <c r="H183" i="5"/>
  <c r="R183" i="5"/>
  <c r="F185" i="5"/>
  <c r="R185" i="5"/>
  <c r="J187" i="5"/>
  <c r="I187" i="5"/>
  <c r="R187" i="5"/>
  <c r="F187" i="5"/>
  <c r="H187" i="5"/>
  <c r="E190" i="5"/>
  <c r="X190" i="5"/>
  <c r="I190" i="5"/>
  <c r="H190" i="5"/>
  <c r="F191" i="5"/>
  <c r="E191" i="5"/>
  <c r="X191" i="5"/>
  <c r="F193" i="5"/>
  <c r="E193" i="5"/>
  <c r="X193" i="5"/>
  <c r="R193" i="5"/>
  <c r="I194" i="5"/>
  <c r="E194" i="5"/>
  <c r="X194" i="5"/>
  <c r="E195" i="5"/>
  <c r="X195" i="5"/>
  <c r="H195" i="5"/>
  <c r="F195" i="5"/>
  <c r="R195" i="5"/>
  <c r="I195" i="5"/>
  <c r="J195" i="5"/>
  <c r="R197" i="5"/>
  <c r="F197" i="5"/>
  <c r="E197" i="5"/>
  <c r="X197" i="5"/>
  <c r="I198" i="5"/>
  <c r="J198" i="5"/>
  <c r="H198" i="5"/>
  <c r="R198" i="5"/>
  <c r="E198" i="5"/>
  <c r="X198" i="5"/>
  <c r="F198" i="5"/>
  <c r="F199" i="5"/>
  <c r="I199" i="5"/>
  <c r="J199" i="5"/>
  <c r="R199" i="5"/>
  <c r="H199" i="5"/>
  <c r="E199" i="5"/>
  <c r="X199" i="5"/>
  <c r="J201" i="5"/>
  <c r="R201" i="5"/>
  <c r="J203" i="5"/>
  <c r="I203" i="5"/>
  <c r="F203" i="5"/>
  <c r="R203" i="5"/>
  <c r="H203" i="5"/>
  <c r="F205" i="5"/>
  <c r="R205" i="5"/>
  <c r="I212" i="5"/>
  <c r="E212" i="5"/>
  <c r="X212" i="5"/>
  <c r="F212" i="5"/>
  <c r="R212" i="5"/>
  <c r="H212" i="5"/>
  <c r="J212" i="5"/>
  <c r="F213" i="5"/>
  <c r="E213" i="5"/>
  <c r="X213" i="5"/>
  <c r="H214" i="5"/>
  <c r="E214" i="5"/>
  <c r="X214" i="5"/>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c r="R556" i="5"/>
  <c r="J558" i="5"/>
  <c r="I558" i="5"/>
  <c r="H558" i="5"/>
  <c r="E558" i="5"/>
  <c r="X558" i="5"/>
  <c r="F558" i="5"/>
  <c r="R558" i="5"/>
  <c r="R559" i="5"/>
  <c r="F559" i="5"/>
  <c r="J559" i="5"/>
  <c r="H559" i="5"/>
  <c r="E559" i="5"/>
  <c r="X559" i="5"/>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c r="I568" i="5"/>
  <c r="I569" i="5"/>
  <c r="R569" i="5"/>
  <c r="J569" i="5"/>
  <c r="E569" i="5"/>
  <c r="X569" i="5"/>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c r="I618" i="5"/>
  <c r="R618" i="5"/>
  <c r="F618" i="5"/>
  <c r="H618" i="5"/>
  <c r="J618" i="5"/>
  <c r="I620" i="5"/>
  <c r="R620" i="5"/>
  <c r="H620" i="5"/>
  <c r="J620" i="5"/>
  <c r="E620" i="5"/>
  <c r="X620" i="5"/>
  <c r="F620" i="5"/>
  <c r="H622" i="5"/>
  <c r="E622" i="5"/>
  <c r="X622" i="5"/>
  <c r="F622" i="5"/>
  <c r="J622" i="5"/>
  <c r="I622" i="5"/>
  <c r="R622" i="5"/>
  <c r="H624" i="5"/>
  <c r="J624" i="5"/>
  <c r="R624" i="5"/>
  <c r="F624" i="5"/>
  <c r="E624" i="5"/>
  <c r="X624" i="5"/>
  <c r="I624" i="5"/>
  <c r="E626" i="5"/>
  <c r="X626" i="5"/>
  <c r="H626" i="5"/>
  <c r="J626" i="5"/>
  <c r="F626" i="5"/>
  <c r="R626" i="5"/>
  <c r="I626" i="5"/>
  <c r="E628" i="5"/>
  <c r="X628" i="5"/>
  <c r="R628" i="5"/>
  <c r="H628" i="5"/>
  <c r="J628" i="5"/>
  <c r="F628" i="5"/>
  <c r="I628" i="5"/>
  <c r="J629" i="5"/>
  <c r="R629" i="5"/>
  <c r="F629" i="5"/>
  <c r="H629" i="5"/>
  <c r="I629" i="5"/>
  <c r="E629" i="5"/>
  <c r="X629" i="5"/>
  <c r="H630" i="5"/>
  <c r="F630" i="5"/>
  <c r="J630" i="5"/>
  <c r="I630" i="5"/>
  <c r="R630" i="5"/>
  <c r="E630" i="5"/>
  <c r="X630" i="5"/>
  <c r="H632" i="5"/>
  <c r="E632" i="5"/>
  <c r="X632" i="5"/>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c r="I646" i="5"/>
  <c r="J646" i="5"/>
  <c r="F646" i="5"/>
  <c r="R646" i="5"/>
  <c r="H646" i="5"/>
  <c r="E649" i="5"/>
  <c r="X649" i="5"/>
  <c r="I649" i="5"/>
  <c r="H649" i="5"/>
  <c r="F649" i="5"/>
  <c r="J649" i="5"/>
  <c r="R649" i="5"/>
  <c r="J652" i="5"/>
  <c r="E652" i="5"/>
  <c r="X652" i="5"/>
  <c r="F652" i="5"/>
  <c r="I652" i="5"/>
  <c r="H652" i="5"/>
  <c r="R652" i="5"/>
  <c r="I654" i="5"/>
  <c r="H654" i="5"/>
  <c r="R654" i="5"/>
  <c r="J654" i="5"/>
  <c r="E654" i="5"/>
  <c r="X654" i="5"/>
  <c r="F654" i="5"/>
  <c r="R656" i="5"/>
  <c r="F656" i="5"/>
  <c r="H656" i="5"/>
  <c r="I656" i="5"/>
  <c r="J656" i="5"/>
  <c r="E656" i="5"/>
  <c r="X656" i="5"/>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c r="H668" i="5"/>
  <c r="I668" i="5"/>
  <c r="J668" i="5"/>
  <c r="F668" i="5"/>
  <c r="H672" i="5"/>
  <c r="E672" i="5"/>
  <c r="X672" i="5"/>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c r="F682" i="5"/>
  <c r="J682" i="5"/>
  <c r="R682" i="5"/>
  <c r="J683" i="5"/>
  <c r="F683" i="5"/>
  <c r="R683" i="5"/>
  <c r="I683" i="5"/>
  <c r="H683" i="5"/>
  <c r="E683" i="5"/>
  <c r="X683" i="5"/>
  <c r="F685" i="5"/>
  <c r="J685" i="5"/>
  <c r="I685" i="5"/>
  <c r="R685" i="5"/>
  <c r="H685" i="5"/>
  <c r="E685" i="5"/>
  <c r="X685" i="5"/>
  <c r="I686" i="5"/>
  <c r="F686" i="5"/>
  <c r="H686" i="5"/>
  <c r="R686" i="5"/>
  <c r="J686" i="5"/>
  <c r="E686" i="5"/>
  <c r="X686" i="5"/>
  <c r="R688" i="5"/>
  <c r="H688" i="5"/>
  <c r="F688" i="5"/>
  <c r="J688" i="5"/>
  <c r="I688" i="5"/>
  <c r="I689" i="5"/>
  <c r="F689" i="5"/>
  <c r="R689" i="5"/>
  <c r="E689" i="5"/>
  <c r="X689" i="5"/>
  <c r="J689" i="5"/>
  <c r="H689" i="5"/>
  <c r="F690" i="5"/>
  <c r="I690" i="5"/>
  <c r="J690" i="5"/>
  <c r="R690" i="5"/>
  <c r="H690" i="5"/>
  <c r="E690" i="5"/>
  <c r="X690" i="5"/>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c r="H699" i="5"/>
  <c r="F700" i="5"/>
  <c r="R700" i="5"/>
  <c r="H700" i="5"/>
  <c r="E700" i="5"/>
  <c r="X700" i="5"/>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c r="H735" i="5"/>
  <c r="I735" i="5"/>
  <c r="R735" i="5"/>
  <c r="F735" i="5"/>
  <c r="J735" i="5"/>
  <c r="H736" i="5"/>
  <c r="J736" i="5"/>
  <c r="E736" i="5"/>
  <c r="X736" i="5"/>
  <c r="I736" i="5"/>
  <c r="F736" i="5"/>
  <c r="R736" i="5"/>
  <c r="E737" i="5"/>
  <c r="X737" i="5"/>
  <c r="H737" i="5"/>
  <c r="R737" i="5"/>
  <c r="I737" i="5"/>
  <c r="J737" i="5"/>
  <c r="F737" i="5"/>
  <c r="E739" i="5"/>
  <c r="X739" i="5"/>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c r="F746" i="5"/>
  <c r="E746" i="5"/>
  <c r="X746" i="5"/>
  <c r="I747" i="5"/>
  <c r="H747" i="5"/>
  <c r="F747" i="5"/>
  <c r="R747" i="5"/>
  <c r="E747" i="5"/>
  <c r="X747" i="5"/>
  <c r="J747" i="5"/>
  <c r="F748" i="5"/>
  <c r="J748" i="5"/>
  <c r="E748" i="5"/>
  <c r="X748" i="5"/>
  <c r="H748" i="5"/>
  <c r="R748" i="5"/>
  <c r="I748" i="5"/>
  <c r="R750" i="5"/>
  <c r="E750" i="5"/>
  <c r="X750" i="5"/>
  <c r="F751" i="5"/>
  <c r="R751" i="5"/>
  <c r="I751" i="5"/>
  <c r="E751" i="5"/>
  <c r="X751" i="5"/>
  <c r="J751" i="5"/>
  <c r="H751" i="5"/>
  <c r="R752" i="5"/>
  <c r="E752" i="5"/>
  <c r="X752" i="5"/>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c r="I759" i="5"/>
  <c r="J759" i="5"/>
  <c r="H759" i="5"/>
  <c r="F759" i="5"/>
  <c r="H760" i="5"/>
  <c r="J760" i="5"/>
  <c r="E760" i="5"/>
  <c r="X760" i="5"/>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c r="I765" i="5"/>
  <c r="F765" i="5"/>
  <c r="R766" i="5"/>
  <c r="E766" i="5"/>
  <c r="X766" i="5"/>
  <c r="R767" i="5"/>
  <c r="E767" i="5"/>
  <c r="X767" i="5"/>
  <c r="H768" i="5"/>
  <c r="E768" i="5"/>
  <c r="X768" i="5"/>
  <c r="R768" i="5"/>
  <c r="F768" i="5"/>
  <c r="I768" i="5"/>
  <c r="J768" i="5"/>
  <c r="R769" i="5"/>
  <c r="I769" i="5"/>
  <c r="J769" i="5"/>
  <c r="H769" i="5"/>
  <c r="F769" i="5"/>
  <c r="E769" i="5"/>
  <c r="X769" i="5"/>
  <c r="F770" i="5"/>
  <c r="I770" i="5"/>
  <c r="E770" i="5"/>
  <c r="X770" i="5"/>
  <c r="J770" i="5"/>
  <c r="H770" i="5"/>
  <c r="R770" i="5"/>
  <c r="J771" i="5"/>
  <c r="R771" i="5"/>
  <c r="I771" i="5"/>
  <c r="H771" i="5"/>
  <c r="F771" i="5"/>
  <c r="E771" i="5"/>
  <c r="X771" i="5"/>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c r="H812" i="5"/>
  <c r="J812" i="5"/>
  <c r="R812" i="5"/>
  <c r="I813" i="5"/>
  <c r="J813" i="5"/>
  <c r="H813" i="5"/>
  <c r="F813" i="5"/>
  <c r="R813" i="5"/>
  <c r="E813" i="5"/>
  <c r="X813" i="5"/>
  <c r="J815" i="5"/>
  <c r="F815" i="5"/>
  <c r="R815" i="5"/>
  <c r="I815" i="5"/>
  <c r="H815" i="5"/>
  <c r="E815" i="5"/>
  <c r="X815" i="5"/>
  <c r="E816" i="5"/>
  <c r="X816" i="5"/>
  <c r="I816" i="5"/>
  <c r="F816" i="5"/>
  <c r="R816" i="5"/>
  <c r="J816" i="5"/>
  <c r="H816" i="5"/>
  <c r="H819" i="5"/>
  <c r="R819" i="5"/>
  <c r="F819" i="5"/>
  <c r="J819" i="5"/>
  <c r="I819" i="5"/>
  <c r="E819" i="5"/>
  <c r="X819" i="5"/>
  <c r="H820" i="5"/>
  <c r="I820" i="5"/>
  <c r="R820" i="5"/>
  <c r="J820" i="5"/>
  <c r="E820" i="5"/>
  <c r="X820" i="5"/>
  <c r="F820" i="5"/>
  <c r="R821" i="5"/>
  <c r="H821" i="5"/>
  <c r="F821" i="5"/>
  <c r="E821" i="5"/>
  <c r="X821" i="5"/>
  <c r="I821" i="5"/>
  <c r="J821" i="5"/>
  <c r="J822" i="5"/>
  <c r="I822" i="5"/>
  <c r="F822" i="5"/>
  <c r="R822" i="5"/>
  <c r="H822" i="5"/>
  <c r="E824" i="5"/>
  <c r="X824" i="5"/>
  <c r="F824" i="5"/>
  <c r="H824" i="5"/>
  <c r="R824" i="5"/>
  <c r="J824" i="5"/>
  <c r="I824" i="5"/>
  <c r="H825" i="5"/>
  <c r="J825" i="5"/>
  <c r="I825" i="5"/>
  <c r="R825" i="5"/>
  <c r="F825" i="5"/>
  <c r="E825" i="5"/>
  <c r="X825" i="5"/>
  <c r="J826" i="5"/>
  <c r="F826" i="5"/>
  <c r="R826" i="5"/>
  <c r="H826" i="5"/>
  <c r="I826" i="5"/>
  <c r="E827" i="5"/>
  <c r="X827" i="5"/>
  <c r="H827" i="5"/>
  <c r="J827" i="5"/>
  <c r="I827" i="5"/>
  <c r="F827" i="5"/>
  <c r="R827" i="5"/>
  <c r="F828" i="5"/>
  <c r="H828" i="5"/>
  <c r="R828" i="5"/>
  <c r="I828" i="5"/>
  <c r="J828" i="5"/>
  <c r="E828" i="5"/>
  <c r="X828" i="5"/>
  <c r="F829" i="5"/>
  <c r="E829" i="5"/>
  <c r="X829" i="5"/>
  <c r="J830" i="5"/>
  <c r="R830" i="5"/>
  <c r="F830" i="5"/>
  <c r="I830" i="5"/>
  <c r="H830" i="5"/>
  <c r="E830" i="5"/>
  <c r="X830" i="5"/>
  <c r="I831" i="5"/>
  <c r="R831" i="5"/>
  <c r="H831" i="5"/>
  <c r="F831" i="5"/>
  <c r="J831" i="5"/>
  <c r="E831" i="5"/>
  <c r="X831" i="5"/>
  <c r="F832" i="5"/>
  <c r="H832" i="5"/>
  <c r="I832" i="5"/>
  <c r="E832" i="5"/>
  <c r="X832" i="5"/>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c r="J846" i="5"/>
  <c r="F846" i="5"/>
  <c r="I846" i="5"/>
  <c r="E848" i="5"/>
  <c r="X848" i="5"/>
  <c r="R848" i="5"/>
  <c r="F848" i="5"/>
  <c r="J848" i="5"/>
  <c r="H848" i="5"/>
  <c r="I848" i="5"/>
  <c r="H849" i="5"/>
  <c r="J849" i="5"/>
  <c r="E849" i="5"/>
  <c r="X849" i="5"/>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c r="H856" i="5"/>
  <c r="F856" i="5"/>
  <c r="I856" i="5"/>
  <c r="J856" i="5"/>
  <c r="R856" i="5"/>
  <c r="I857" i="5"/>
  <c r="E857" i="5"/>
  <c r="X857" i="5"/>
  <c r="F857" i="5"/>
  <c r="J857" i="5"/>
  <c r="H857" i="5"/>
  <c r="R857" i="5"/>
  <c r="E860" i="5"/>
  <c r="X860" i="5"/>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c r="H872" i="5"/>
  <c r="E872" i="5"/>
  <c r="X872" i="5"/>
  <c r="I873" i="5"/>
  <c r="F873" i="5"/>
  <c r="E873" i="5"/>
  <c r="X873" i="5"/>
  <c r="R873" i="5"/>
  <c r="H873" i="5"/>
  <c r="J873" i="5"/>
  <c r="R876" i="5"/>
  <c r="J876" i="5"/>
  <c r="E876" i="5"/>
  <c r="X876" i="5"/>
  <c r="I876" i="5"/>
  <c r="H876" i="5"/>
  <c r="F876" i="5"/>
  <c r="J877" i="5"/>
  <c r="R877" i="5"/>
  <c r="E877" i="5"/>
  <c r="X877" i="5"/>
  <c r="F877" i="5"/>
  <c r="I877" i="5"/>
  <c r="H877" i="5"/>
  <c r="I878" i="5"/>
  <c r="R878" i="5"/>
  <c r="F878" i="5"/>
  <c r="E878" i="5"/>
  <c r="X878" i="5"/>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c r="J891" i="5"/>
  <c r="F893" i="5"/>
  <c r="R893" i="5"/>
  <c r="I893" i="5"/>
  <c r="E893" i="5"/>
  <c r="X893" i="5"/>
  <c r="J893" i="5"/>
  <c r="H893" i="5"/>
  <c r="H894" i="5"/>
  <c r="F894" i="5"/>
  <c r="J894" i="5"/>
  <c r="I894" i="5"/>
  <c r="E894" i="5"/>
  <c r="X894" i="5"/>
  <c r="R894" i="5"/>
  <c r="H896" i="5"/>
  <c r="I896" i="5"/>
  <c r="E896" i="5"/>
  <c r="X896" i="5"/>
  <c r="R896" i="5"/>
  <c r="J896" i="5"/>
  <c r="F896" i="5"/>
  <c r="E897" i="5"/>
  <c r="X897" i="5"/>
  <c r="I897" i="5"/>
  <c r="J897" i="5"/>
  <c r="F897" i="5"/>
  <c r="H897" i="5"/>
  <c r="R897" i="5"/>
  <c r="F898" i="5"/>
  <c r="H898" i="5"/>
  <c r="I898" i="5"/>
  <c r="R898" i="5"/>
  <c r="E898" i="5"/>
  <c r="X898" i="5"/>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c r="F904" i="5"/>
  <c r="R904" i="5"/>
  <c r="H904" i="5"/>
  <c r="J904" i="5"/>
  <c r="E904" i="5"/>
  <c r="X904" i="5"/>
  <c r="I904" i="5"/>
  <c r="E905" i="5"/>
  <c r="X905" i="5"/>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c r="F910" i="5"/>
  <c r="F913" i="5"/>
  <c r="R913" i="5"/>
  <c r="H913" i="5"/>
  <c r="I913" i="5"/>
  <c r="E913" i="5"/>
  <c r="X913" i="5"/>
  <c r="J913" i="5"/>
  <c r="I915" i="5"/>
  <c r="J915" i="5"/>
  <c r="H917" i="5"/>
  <c r="E917" i="5"/>
  <c r="X917" i="5"/>
  <c r="R917" i="5"/>
  <c r="F917" i="5"/>
  <c r="I917" i="5"/>
  <c r="J917" i="5"/>
  <c r="I919" i="5"/>
  <c r="J919" i="5"/>
  <c r="E919" i="5"/>
  <c r="X919" i="5"/>
  <c r="R919" i="5"/>
  <c r="H919" i="5"/>
  <c r="F919" i="5"/>
  <c r="H920" i="5"/>
  <c r="I920" i="5"/>
  <c r="R920" i="5"/>
  <c r="F920" i="5"/>
  <c r="J920" i="5"/>
  <c r="E920" i="5"/>
  <c r="X920" i="5"/>
  <c r="J921" i="5"/>
  <c r="E921" i="5"/>
  <c r="X921" i="5"/>
  <c r="I921" i="5"/>
  <c r="F921" i="5"/>
  <c r="R921" i="5"/>
  <c r="H921" i="5"/>
  <c r="E922" i="5"/>
  <c r="X922" i="5"/>
  <c r="R922" i="5"/>
  <c r="H922" i="5"/>
  <c r="F922" i="5"/>
  <c r="I922" i="5"/>
  <c r="J922" i="5"/>
  <c r="H924" i="5"/>
  <c r="E924" i="5"/>
  <c r="X924" i="5"/>
  <c r="F924" i="5"/>
  <c r="R924" i="5"/>
  <c r="J924" i="5"/>
  <c r="I924" i="5"/>
  <c r="R925" i="5"/>
  <c r="E925" i="5"/>
  <c r="X925" i="5"/>
  <c r="F925" i="5"/>
  <c r="H925" i="5"/>
  <c r="I925" i="5"/>
  <c r="J925" i="5"/>
  <c r="E926" i="5"/>
  <c r="X926" i="5"/>
  <c r="I926" i="5"/>
  <c r="J926" i="5"/>
  <c r="F926" i="5"/>
  <c r="R926" i="5"/>
  <c r="H926" i="5"/>
  <c r="R929" i="5"/>
  <c r="H929" i="5"/>
  <c r="J929" i="5"/>
  <c r="I929" i="5"/>
  <c r="E929" i="5"/>
  <c r="X929" i="5"/>
  <c r="F929" i="5"/>
  <c r="H933" i="5"/>
  <c r="E933" i="5"/>
  <c r="X933" i="5"/>
  <c r="R933" i="5"/>
  <c r="I933" i="5"/>
  <c r="J933" i="5"/>
  <c r="F933" i="5"/>
  <c r="F934" i="5"/>
  <c r="E934" i="5"/>
  <c r="X934" i="5"/>
  <c r="H934" i="5"/>
  <c r="J934" i="5"/>
  <c r="R934" i="5"/>
  <c r="I934" i="5"/>
  <c r="E935" i="5"/>
  <c r="X935" i="5"/>
  <c r="J935" i="5"/>
  <c r="I935" i="5"/>
  <c r="R935" i="5"/>
  <c r="F935" i="5"/>
  <c r="H935" i="5"/>
  <c r="I936" i="5"/>
  <c r="J936" i="5"/>
  <c r="F936" i="5"/>
  <c r="H936" i="5"/>
  <c r="R936" i="5"/>
  <c r="E936" i="5"/>
  <c r="X936" i="5"/>
  <c r="E937" i="5"/>
  <c r="X937" i="5"/>
  <c r="H937" i="5"/>
  <c r="J937" i="5"/>
  <c r="R937" i="5"/>
  <c r="F937" i="5"/>
  <c r="I937" i="5"/>
  <c r="E938" i="5"/>
  <c r="X938" i="5"/>
  <c r="R938" i="5"/>
  <c r="I938" i="5"/>
  <c r="F938" i="5"/>
  <c r="H938" i="5"/>
  <c r="J938" i="5"/>
  <c r="R939" i="5"/>
  <c r="I939" i="5"/>
  <c r="J939" i="5"/>
  <c r="H939" i="5"/>
  <c r="F939" i="5"/>
  <c r="E939" i="5"/>
  <c r="X939" i="5"/>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c r="F948" i="5"/>
  <c r="J948" i="5"/>
  <c r="I948" i="5"/>
  <c r="R949" i="5"/>
  <c r="F949" i="5"/>
  <c r="H949" i="5"/>
  <c r="J949" i="5"/>
  <c r="I949" i="5"/>
  <c r="E949" i="5"/>
  <c r="X949" i="5"/>
  <c r="I950" i="5"/>
  <c r="E950" i="5"/>
  <c r="X950" i="5"/>
  <c r="F950" i="5"/>
  <c r="H950" i="5"/>
  <c r="J950" i="5"/>
  <c r="R950" i="5"/>
  <c r="R951" i="5"/>
  <c r="J951" i="5"/>
  <c r="E951" i="5"/>
  <c r="X951" i="5"/>
  <c r="H951" i="5"/>
  <c r="F951" i="5"/>
  <c r="I951" i="5"/>
  <c r="R953" i="5"/>
  <c r="E953" i="5"/>
  <c r="X953" i="5"/>
  <c r="I953" i="5"/>
  <c r="H953" i="5"/>
  <c r="F953" i="5"/>
  <c r="J953" i="5"/>
  <c r="H954" i="5"/>
  <c r="F954" i="5"/>
  <c r="I954" i="5"/>
  <c r="E954" i="5"/>
  <c r="X954" i="5"/>
  <c r="R954" i="5"/>
  <c r="J954" i="5"/>
  <c r="H955" i="5"/>
  <c r="J955" i="5"/>
  <c r="I955" i="5"/>
  <c r="R955" i="5"/>
  <c r="E955" i="5"/>
  <c r="X955" i="5"/>
  <c r="F955" i="5"/>
  <c r="R957" i="5"/>
  <c r="J957" i="5"/>
  <c r="E957" i="5"/>
  <c r="X957" i="5"/>
  <c r="F957" i="5"/>
  <c r="I957" i="5"/>
  <c r="H957" i="5"/>
  <c r="J958" i="5"/>
  <c r="H958" i="5"/>
  <c r="R958" i="5"/>
  <c r="E958" i="5"/>
  <c r="X958" i="5"/>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c r="R966" i="5"/>
  <c r="J966" i="5"/>
  <c r="I966" i="5"/>
  <c r="F966" i="5"/>
  <c r="H966" i="5"/>
  <c r="H967" i="5"/>
  <c r="E967" i="5"/>
  <c r="X967" i="5"/>
  <c r="J967" i="5"/>
  <c r="F969" i="5"/>
  <c r="J969" i="5"/>
  <c r="H969" i="5"/>
  <c r="E969" i="5"/>
  <c r="X969" i="5"/>
  <c r="R969" i="5"/>
  <c r="I969" i="5"/>
  <c r="J971" i="5"/>
  <c r="E971" i="5"/>
  <c r="X971" i="5"/>
  <c r="J973" i="5"/>
  <c r="F973" i="5"/>
  <c r="R973" i="5"/>
  <c r="I973" i="5"/>
  <c r="H973" i="5"/>
  <c r="E973" i="5"/>
  <c r="X973" i="5"/>
  <c r="E974" i="5"/>
  <c r="X974" i="5"/>
  <c r="H974" i="5"/>
  <c r="R975" i="5"/>
  <c r="F975" i="5"/>
  <c r="H975" i="5"/>
  <c r="E975" i="5"/>
  <c r="X975" i="5"/>
  <c r="J975" i="5"/>
  <c r="I975" i="5"/>
  <c r="H977" i="5"/>
  <c r="I977" i="5"/>
  <c r="E977" i="5"/>
  <c r="X977" i="5"/>
  <c r="F977" i="5"/>
  <c r="R977" i="5"/>
  <c r="J977" i="5"/>
  <c r="F978" i="5"/>
  <c r="H978" i="5"/>
  <c r="E978" i="5"/>
  <c r="X978" i="5"/>
  <c r="J978" i="5"/>
  <c r="I978" i="5"/>
  <c r="R978" i="5"/>
  <c r="I981" i="5"/>
  <c r="F981" i="5"/>
  <c r="H981" i="5"/>
  <c r="J981" i="5"/>
  <c r="E981" i="5"/>
  <c r="X981" i="5"/>
  <c r="R981" i="5"/>
  <c r="E982" i="5"/>
  <c r="X982" i="5"/>
  <c r="R982" i="5"/>
  <c r="J986" i="5"/>
  <c r="I986" i="5"/>
  <c r="H986" i="5"/>
  <c r="F986" i="5"/>
  <c r="R986" i="5"/>
  <c r="J990" i="5"/>
  <c r="E990" i="5"/>
  <c r="X990" i="5"/>
  <c r="I990" i="5"/>
  <c r="H990" i="5"/>
  <c r="F990" i="5"/>
  <c r="R990" i="5"/>
  <c r="I991" i="5"/>
  <c r="E991" i="5"/>
  <c r="X991" i="5"/>
  <c r="J991" i="5"/>
  <c r="H991" i="5"/>
  <c r="F991" i="5"/>
  <c r="R991" i="5"/>
  <c r="R993" i="5"/>
  <c r="I993" i="5"/>
  <c r="J993" i="5"/>
  <c r="E993" i="5"/>
  <c r="X993" i="5"/>
  <c r="F993" i="5"/>
  <c r="H993" i="5"/>
  <c r="F994" i="5"/>
  <c r="J994" i="5"/>
  <c r="I994" i="5"/>
  <c r="H994" i="5"/>
  <c r="R994" i="5"/>
  <c r="E994" i="5"/>
  <c r="X994" i="5"/>
  <c r="E995" i="5"/>
  <c r="X995" i="5"/>
  <c r="I995" i="5"/>
  <c r="R995" i="5"/>
  <c r="F995" i="5"/>
  <c r="H995" i="5"/>
  <c r="J995" i="5"/>
  <c r="R997" i="5"/>
  <c r="I997" i="5"/>
  <c r="F997" i="5"/>
  <c r="H997" i="5"/>
  <c r="E997" i="5"/>
  <c r="X997" i="5"/>
  <c r="J997" i="5"/>
  <c r="F998" i="5"/>
  <c r="J998" i="5"/>
  <c r="R998" i="5"/>
  <c r="I998" i="5"/>
  <c r="E998" i="5"/>
  <c r="X998" i="5"/>
  <c r="H998" i="5"/>
  <c r="I999" i="5"/>
  <c r="E999" i="5"/>
  <c r="X999" i="5"/>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c r="H1006" i="5"/>
  <c r="I1006" i="5"/>
  <c r="R1006" i="5"/>
  <c r="I1007" i="5"/>
  <c r="E1007" i="5"/>
  <c r="X1007" i="5"/>
  <c r="R1007" i="5"/>
  <c r="H1009" i="5"/>
  <c r="I1009" i="5"/>
  <c r="J1009" i="5"/>
  <c r="R1009" i="5"/>
  <c r="F1009" i="5"/>
  <c r="E1009" i="5"/>
  <c r="X1009" i="5"/>
  <c r="J1010" i="5"/>
  <c r="I1010" i="5"/>
  <c r="H1010" i="5"/>
  <c r="F1010" i="5"/>
  <c r="E1010" i="5"/>
  <c r="X1010" i="5"/>
  <c r="R1010" i="5"/>
  <c r="J1011" i="5"/>
  <c r="E1011" i="5"/>
  <c r="X1011" i="5"/>
  <c r="H1011" i="5"/>
  <c r="I1011" i="5"/>
  <c r="R1011" i="5"/>
  <c r="F1011" i="5"/>
  <c r="F1013" i="5"/>
  <c r="R1013" i="5"/>
  <c r="I1013" i="5"/>
  <c r="H1013" i="5"/>
  <c r="J1013" i="5"/>
  <c r="E1013" i="5"/>
  <c r="X1013" i="5"/>
  <c r="F1014" i="5"/>
  <c r="H1014" i="5"/>
  <c r="I1014" i="5"/>
  <c r="J1014" i="5"/>
  <c r="R1014" i="5"/>
  <c r="E1014" i="5"/>
  <c r="X1014" i="5"/>
  <c r="B34" i="4"/>
  <c r="A21" i="6"/>
  <c r="A16" i="6"/>
  <c r="D6" i="6"/>
  <c r="C6" i="6"/>
  <c r="B57" i="4"/>
  <c r="A40" i="6"/>
  <c r="A25" i="6"/>
  <c r="B63" i="4"/>
  <c r="A45" i="6"/>
  <c r="B69" i="4"/>
  <c r="A50" i="6"/>
  <c r="B51" i="4"/>
  <c r="A35" i="6"/>
  <c r="B56" i="4"/>
  <c r="A39" i="6"/>
  <c r="B50" i="4"/>
  <c r="A34" i="6"/>
  <c r="B62" i="4"/>
  <c r="A44" i="6"/>
  <c r="B68" i="4"/>
  <c r="A49" i="6"/>
  <c r="A24" i="6"/>
  <c r="G31" i="4"/>
  <c r="G61" i="4"/>
  <c r="G49" i="4"/>
  <c r="G43" i="4"/>
  <c r="G37" i="4"/>
  <c r="G67" i="4"/>
  <c r="G74" i="4"/>
  <c r="G55" i="4"/>
  <c r="B64" i="6"/>
  <c r="H64" i="6"/>
  <c r="A17" i="6"/>
  <c r="B35" i="4"/>
  <c r="A22" i="6"/>
  <c r="D31" i="4"/>
  <c r="D55" i="4"/>
  <c r="D67" i="4"/>
  <c r="D49" i="4"/>
  <c r="D61" i="4"/>
  <c r="D37" i="4"/>
  <c r="D74" i="4"/>
  <c r="D43" i="4"/>
  <c r="E209" i="5"/>
  <c r="X209" i="5"/>
  <c r="J209" i="5"/>
  <c r="R209" i="5"/>
  <c r="F209" i="5"/>
  <c r="H209" i="5"/>
  <c r="I209" i="5"/>
  <c r="H5" i="5"/>
  <c r="G5" i="5"/>
  <c r="F5" i="5"/>
  <c r="R5" i="5"/>
  <c r="X5" i="5"/>
  <c r="I5" i="5"/>
  <c r="G68" i="6"/>
  <c r="H68" i="6"/>
  <c r="G1040" i="5"/>
  <c r="J1040" i="5"/>
  <c r="I1040" i="5"/>
  <c r="R1040" i="5"/>
  <c r="F1040" i="5"/>
  <c r="H1040" i="5"/>
  <c r="E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G65" i="6"/>
  <c r="H65" i="6"/>
  <c r="G67" i="6"/>
  <c r="H67" i="6"/>
  <c r="G66" i="6"/>
  <c r="H66" i="6"/>
  <c r="C64" i="6"/>
  <c r="D64" i="6"/>
  <c r="D68" i="6"/>
  <c r="C68" i="6"/>
  <c r="G69" i="6" a="1"/>
  <c r="G69" i="6"/>
  <c r="H69" i="6"/>
  <c r="H70" i="6"/>
  <c r="D2" i="6"/>
  <c r="X1040" i="5"/>
  <c r="D65" i="6"/>
  <c r="C65" i="6"/>
  <c r="D67" i="6"/>
  <c r="C67" i="6"/>
  <c r="D66" i="6"/>
  <c r="C6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<sst xmlns="http://schemas.openxmlformats.org/spreadsheetml/2006/main" count="22582" uniqueCount="15886">
  <si>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</si>
  <si>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</si>
  <si>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</si>
  <si>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</si>
  <si>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</si>
  <si>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</si>
  <si>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</si>
  <si>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</si>
  <si>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</si>
  <si>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</si>
  <si>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</si>
  <si>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</si>
  <si>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</si>
  <si>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</si>
  <si>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</si>
  <si>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</si>
  <si>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</si>
  <si>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</si>
  <si>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</si>
  <si>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</si>
  <si>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</si>
  <si>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</si>
  <si>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</si>
  <si>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</si>
  <si>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</si>
  <si>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</si>
  <si>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</si>
  <si>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</si>
  <si>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</si>
  <si>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</si>
  <si>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</si>
  <si>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</si>
  <si>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</si>
  <si>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</si>
  <si>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</si>
  <si>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</si>
  <si>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</si>
  <si>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</si>
  <si>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</si>
  <si>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</si>
  <si>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</si>
  <si>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</si>
  <si>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</si>
  <si>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</si>
  <si>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</si>
  <si>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</si>
  <si>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</si>
  <si>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</si>
  <si>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</si>
  <si>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</si>
  <si>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</si>
  <si>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</si>
  <si>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</si>
  <si>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</si>
  <si>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</si>
  <si>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</si>
  <si>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</si>
  <si>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</si>
  <si>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</si>
  <si>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</si>
  <si>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</si>
  <si>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</si>
  <si>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</si>
  <si>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</si>
  <si>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</si>
  <si>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</si>
  <si>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</si>
  <si>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</si>
  <si>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</si>
  <si>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</si>
  <si>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</si>
  <si>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</si>
  <si>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</si>
  <si>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</si>
  <si>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</si>
  <si>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</si>
  <si>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</si>
  <si>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</si>
  <si>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</si>
  <si>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</si>
  <si>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</si>
  <si>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</si>
  <si>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</si>
  <si>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</si>
  <si>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</si>
  <si>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</si>
  <si>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</si>
  <si>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</si>
  <si>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</si>
  <si>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</si>
  <si>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</si>
  <si>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</si>
  <si>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</si>
  <si>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</si>
  <si>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</si>
  <si>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</si>
  <si>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</si>
  <si>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</si>
  <si>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</si>
  <si>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</si>
  <si>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</si>
  <si>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</si>
  <si>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</si>
  <si>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</si>
  <si>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</si>
  <si>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</si>
  <si>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</si>
  <si>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</si>
  <si>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</si>
  <si>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</si>
  <si>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</si>
  <si>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</si>
  <si>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</si>
  <si>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</si>
  <si>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</si>
  <si>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</si>
  <si>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</si>
  <si>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</si>
  <si>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</si>
  <si>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</si>
  <si>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</si>
  <si>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</si>
  <si>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</si>
  <si>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</si>
  <si>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</si>
  <si>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</si>
  <si>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</si>
  <si>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</si>
  <si>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</si>
  <si>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</si>
  <si>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</si>
  <si>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</si>
  <si>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</si>
  <si>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</si>
  <si>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</si>
  <si>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</si>
  <si>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</si>
  <si>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</si>
  <si>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</si>
  <si>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</si>
  <si>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</si>
  <si>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</si>
  <si>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</si>
  <si>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</si>
  <si>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</si>
  <si>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</si>
  <si>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</si>
  <si>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</si>
  <si>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</si>
  <si>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</si>
  <si>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</si>
  <si>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</si>
  <si>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</si>
  <si>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</si>
  <si>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</si>
  <si>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</si>
  <si>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</si>
  <si>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</si>
  <si>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</si>
  <si>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</si>
  <si>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</si>
  <si>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</si>
  <si>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</si>
  <si>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</si>
  <si>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</si>
  <si>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</si>
  <si>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</si>
  <si>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</si>
  <si>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</si>
  <si>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</si>
  <si>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</si>
  <si>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</si>
  <si>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</si>
  <si>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</si>
  <si>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</si>
  <si>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</si>
  <si>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</si>
  <si>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</si>
  <si>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</si>
  <si>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</si>
  <si>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</si>
  <si>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</si>
  <si>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</si>
  <si>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</si>
  <si>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</si>
  <si>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</si>
  <si>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</si>
  <si>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</si>
  <si>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</si>
  <si>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</si>
  <si>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</si>
  <si>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</si>
  <si>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</si>
  <si>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</si>
  <si>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</si>
  <si>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</si>
  <si>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</si>
  <si>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</si>
  <si>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</si>
  <si>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</si>
  <si>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</si>
  <si>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</si>
  <si>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</si>
  <si>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</si>
  <si>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</si>
  <si>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</si>
  <si>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</si>
  <si>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</si>
  <si>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</si>
  <si>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</si>
  <si>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</si>
  <si>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</si>
  <si>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</si>
  <si>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</si>
  <si>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</si>
  <si>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</si>
  <si>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</si>
  <si>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</si>
  <si>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</si>
  <si>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</si>
  <si>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</si>
  <si>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</si>
  <si>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</si>
  <si>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</si>
  <si>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</si>
  <si>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</si>
  <si>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</si>
  <si>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</si>
  <si>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</si>
  <si>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</si>
  <si>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</si>
  <si>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</si>
  <si>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</si>
  <si>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</si>
  <si>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</si>
  <si>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</si>
  <si>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</si>
  <si>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</si>
  <si>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</si>
  <si>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</si>
  <si>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</si>
  <si>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</si>
  <si>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</si>
  <si>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</si>
  <si>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</si>
  <si>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</si>
  <si>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</si>
  <si>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</si>
  <si>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</si>
  <si>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</si>
  <si>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</si>
  <si>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</si>
  <si>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</si>
  <si>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</si>
  <si>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</si>
  <si>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</si>
  <si>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</si>
  <si>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</si>
  <si>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</si>
  <si>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</si>
  <si>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</si>
  <si>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</si>
  <si>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</si>
  <si>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</si>
  <si>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</si>
  <si>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</si>
  <si>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</si>
  <si>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</si>
  <si>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</si>
  <si>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</si>
  <si>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</si>
  <si>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</si>
  <si>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</si>
  <si>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</si>
  <si>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</si>
  <si>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</si>
  <si>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</si>
  <si>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</si>
  <si>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</si>
  <si>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</si>
  <si>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</si>
  <si>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</si>
  <si>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</si>
  <si>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</si>
  <si>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</si>
  <si>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</si>
  <si>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</si>
  <si>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</si>
  <si>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</si>
  <si>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</si>
  <si>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</si>
  <si>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</si>
  <si>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</si>
  <si>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</si>
  <si>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</si>
  <si>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</si>
  <si>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</si>
  <si>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</si>
  <si>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</si>
  <si>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</si>
  <si>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</si>
  <si>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</si>
  <si>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</si>
  <si>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</si>
  <si>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</si>
  <si>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</si>
  <si>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</si>
  <si>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</si>
  <si>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</si>
  <si>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</si>
  <si>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</si>
  <si>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</si>
  <si>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</si>
  <si>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</si>
  <si>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</si>
  <si>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</si>
  <si>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</si>
  <si>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</si>
  <si>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</si>
  <si>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</si>
  <si>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</si>
  <si>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</si>
  <si>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</si>
  <si>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</si>
  <si>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</si>
  <si>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</si>
  <si>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</si>
  <si>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</si>
  <si>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</si>
  <si>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</si>
  <si>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</si>
  <si>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</si>
  <si>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</si>
  <si>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</si>
  <si>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</si>
  <si>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</si>
  <si>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</si>
  <si>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</si>
  <si>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</si>
  <si>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</si>
  <si>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</si>
  <si>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</si>
  <si>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</si>
  <si>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</si>
  <si>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</si>
  <si>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</si>
  <si>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</si>
  <si>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</si>
  <si>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</si>
  <si>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</si>
  <si>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</si>
  <si>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</si>
  <si>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</si>
  <si>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</si>
  <si>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</si>
  <si>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</si>
  <si>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</si>
  <si>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</si>
  <si>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</si>
  <si>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</si>
  <si>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</si>
  <si>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</si>
  <si>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</si>
  <si>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</si>
  <si>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</si>
  <si>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</si>
  <si>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</si>
  <si>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</si>
  <si>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</si>
  <si>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</si>
  <si>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</si>
  <si>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</si>
  <si>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</si>
  <si>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</si>
  <si>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</si>
  <si>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</si>
  <si>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</si>
  <si>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</si>
  <si>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</si>
  <si>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</si>
  <si>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</si>
  <si>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</si>
  <si>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</si>
  <si>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</si>
  <si>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</si>
  <si>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</si>
  <si>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</si>
  <si>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</si>
  <si>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</si>
  <si>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</si>
  <si>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</si>
  <si>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</si>
  <si>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</si>
  <si>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</si>
  <si>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</si>
  <si>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</si>
  <si>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</si>
  <si>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</si>
  <si>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</si>
  <si>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</si>
  <si>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</si>
  <si>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</si>
  <si>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</si>
  <si>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</si>
  <si>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</si>
  <si>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</si>
  <si>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</si>
  <si>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</si>
  <si>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</si>
  <si>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</si>
  <si>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</si>
  <si>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</si>
  <si>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</si>
  <si>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</si>
  <si>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</si>
  <si>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</si>
  <si>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</si>
  <si>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</si>
  <si>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</si>
  <si>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</si>
  <si>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</si>
  <si>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</si>
  <si>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</si>
  <si>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</si>
  <si>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</si>
  <si>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</si>
  <si>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</si>
  <si>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</si>
  <si>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</si>
  <si>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</si>
  <si>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</si>
  <si>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</si>
  <si>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</si>
  <si>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</si>
  <si>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</si>
  <si>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</si>
  <si>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</si>
  <si>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</si>
  <si>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</si>
  <si>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</si>
  <si>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</si>
  <si>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</si>
  <si>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</si>
  <si>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</si>
  <si>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</si>
  <si>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</si>
  <si>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</si>
  <si>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</si>
  <si>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</si>
  <si>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</si>
  <si>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</si>
  <si>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</si>
  <si>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</si>
  <si>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</si>
  <si>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</si>
  <si>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</si>
  <si>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</si>
  <si>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</si>
  <si>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</si>
  <si>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</si>
  <si>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</si>
  <si>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</si>
  <si>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</si>
  <si>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</si>
  <si>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</si>
  <si>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</si>
  <si>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</si>
  <si>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</si>
  <si>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</si>
  <si>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</si>
  <si>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</si>
  <si>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</si>
  <si>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</si>
  <si>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</si>
  <si>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</si>
  <si>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</si>
  <si>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</si>
  <si>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</si>
  <si>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</si>
  <si>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</si>
  <si>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</si>
  <si>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</si>
  <si>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</si>
  <si>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</si>
  <si>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</si>
  <si>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</si>
  <si>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</si>
  <si>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</si>
  <si>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</si>
  <si>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</si>
  <si>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</si>
  <si>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</si>
  <si>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</si>
  <si>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</si>
  <si>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</si>
  <si>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</si>
  <si>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</si>
  <si>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</si>
  <si>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</si>
  <si>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</si>
  <si>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</si>
  <si>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</si>
  <si>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</si>
  <si>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</si>
  <si>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</si>
  <si>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</si>
  <si>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</si>
  <si>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</si>
  <si>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</si>
  <si>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</si>
  <si>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</si>
  <si>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</si>
  <si>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</si>
  <si>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</si>
  <si>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</si>
  <si>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</si>
  <si>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</si>
  <si>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</si>
  <si>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</si>
  <si>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</si>
  <si>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</si>
  <si>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</si>
  <si>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</si>
  <si>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</si>
  <si>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</si>
  <si>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</si>
  <si>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</si>
  <si>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</si>
  <si>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</si>
  <si>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</si>
  <si>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</si>
  <si>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</si>
  <si>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</si>
  <si>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</si>
  <si>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</si>
  <si>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</si>
  <si>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</si>
  <si>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</si>
  <si>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</si>
  <si>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</si>
  <si>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</si>
  <si>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</si>
  <si>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</si>
  <si>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</si>
  <si>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</si>
  <si>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</si>
  <si>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</si>
  <si>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</si>
  <si>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</si>
  <si>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</si>
  <si>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</si>
  <si>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</si>
  <si>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</si>
  <si>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</si>
  <si>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</si>
  <si>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</si>
  <si>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</si>
  <si>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</si>
  <si>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</si>
  <si>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</si>
  <si>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</si>
  <si>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</si>
  <si>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</si>
  <si>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</si>
  <si>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</si>
  <si>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</si>
  <si>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</si>
  <si>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</si>
  <si>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</si>
  <si>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</si>
  <si>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</si>
  <si>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</si>
  <si>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</si>
  <si>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</si>
  <si>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</si>
  <si>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</si>
  <si>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</si>
  <si>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</si>
  <si>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</si>
  <si>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</si>
  <si>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</si>
  <si>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</si>
  <si>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</si>
  <si>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</si>
  <si>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</si>
  <si>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</si>
  <si>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</si>
  <si>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</si>
  <si>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</si>
  <si>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</si>
  <si>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</si>
  <si>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</si>
  <si>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</si>
  <si>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</si>
  <si>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</si>
  <si>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</si>
  <si>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</si>
  <si>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</si>
  <si>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</si>
  <si>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</si>
  <si>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</si>
  <si>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</si>
  <si>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</si>
  <si>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</si>
  <si>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</si>
  <si>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</si>
  <si>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</si>
  <si>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</si>
  <si>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</si>
  <si>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</si>
  <si>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</si>
  <si>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</si>
  <si>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</si>
  <si>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</si>
  <si>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</si>
  <si>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</si>
  <si>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</si>
  <si>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</si>
  <si>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</si>
  <si>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</si>
  <si>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</si>
  <si>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</si>
  <si>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</si>
  <si>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</si>
  <si>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</si>
  <si>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</si>
  <si>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</si>
  <si>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</si>
  <si>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</si>
  <si>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</si>
  <si>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</si>
  <si>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</si>
  <si>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</si>
  <si>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</si>
  <si>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</si>
  <si>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</si>
  <si>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</si>
  <si>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</si>
  <si>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</si>
  <si>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</si>
  <si>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</si>
  <si>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</si>
  <si>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</si>
  <si>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</si>
  <si>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</si>
  <si>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</si>
  <si>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</si>
  <si>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</si>
  <si>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</si>
  <si>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</si>
  <si>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</si>
  <si>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</si>
  <si>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</si>
  <si>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</si>
  <si>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</si>
  <si>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</si>
  <si>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</si>
  <si>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</si>
  <si>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</si>
  <si>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</si>
  <si>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</si>
  <si>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</si>
  <si>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</si>
  <si>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</si>
  <si>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</si>
  <si>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</si>
  <si>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</si>
  <si>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</si>
  <si>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</si>
  <si>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</si>
  <si>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</si>
  <si>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</si>
  <si>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</si>
  <si>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</si>
  <si>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</si>
  <si>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</si>
  <si>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</si>
  <si>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</si>
  <si>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</si>
  <si>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</si>
  <si>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</si>
  <si>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</si>
  <si>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</si>
  <si>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</si>
  <si>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</si>
  <si>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</si>
  <si>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</si>
  <si>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</si>
  <si>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</si>
  <si>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</si>
  <si>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</si>
  <si>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</si>
  <si>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</si>
  <si>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</si>
  <si>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</si>
  <si>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</si>
  <si>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</si>
  <si>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</si>
  <si>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</si>
  <si>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</si>
  <si>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</si>
  <si>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</si>
  <si>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</si>
  <si>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</si>
  <si>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</si>
  <si>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</si>
  <si>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</si>
  <si>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</si>
  <si>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</si>
  <si>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</si>
  <si>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</si>
  <si>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</si>
  <si>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</si>
  <si>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</si>
  <si>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</si>
  <si>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</si>
  <si>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</si>
  <si>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</si>
  <si>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</si>
  <si>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</si>
  <si>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</si>
  <si>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</si>
  <si>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</si>
  <si>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</si>
  <si>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</si>
  <si>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</si>
  <si>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</si>
  <si>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</si>
  <si>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</si>
  <si>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</si>
  <si>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</si>
  <si>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</si>
  <si>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</si>
  <si>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</si>
  <si>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</si>
  <si>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</si>
  <si>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</si>
  <si>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</si>
  <si>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</si>
  <si>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</si>
  <si>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</si>
  <si>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</si>
  <si>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</si>
  <si>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</si>
  <si>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</si>
  <si>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</si>
  <si>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</si>
  <si>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</si>
  <si>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</si>
  <si>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</si>
  <si>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</si>
  <si>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</si>
  <si>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</si>
  <si>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</si>
  <si>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</si>
  <si>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</si>
  <si>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</si>
  <si>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</si>
  <si>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</si>
  <si>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</si>
  <si>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</si>
  <si>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</si>
  <si>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</si>
  <si>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</si>
  <si>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</si>
  <si>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</si>
  <si>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</si>
  <si>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</si>
  <si>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</si>
  <si>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</si>
  <si>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</si>
  <si>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</si>
  <si>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</si>
  <si>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</si>
  <si>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</si>
  <si>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</si>
  <si>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</si>
  <si>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</si>
  <si>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</si>
  <si>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</si>
  <si>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</si>
  <si>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</si>
  <si>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</si>
  <si>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</si>
  <si>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</si>
  <si>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</si>
  <si>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</si>
  <si>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</si>
  <si>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</si>
  <si>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</si>
  <si>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</si>
  <si>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</si>
  <si>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</si>
  <si>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</si>
  <si>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</si>
  <si>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</si>
  <si>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</si>
  <si>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</si>
  <si>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</si>
  <si>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</si>
  <si>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</si>
  <si>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</si>
  <si>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</si>
  <si>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</si>
  <si>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</si>
  <si>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</si>
  <si>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</si>
  <si>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</si>
  <si>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</si>
  <si>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</si>
  <si>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</si>
  <si>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</si>
  <si>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</si>
  <si>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</si>
  <si>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</si>
  <si>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</si>
  <si>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</si>
  <si>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</si>
  <si>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</si>
  <si>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</si>
  <si>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</si>
  <si>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</si>
  <si>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</si>
  <si>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</si>
  <si>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</si>
  <si>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</si>
  <si>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</si>
  <si>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</si>
  <si>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</si>
  <si>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</si>
  <si>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</si>
  <si>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</si>
  <si>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</si>
  <si>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</si>
  <si>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</si>
  <si>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</si>
  <si>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</si>
  <si>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</si>
  <si>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</si>
  <si>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</si>
  <si>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</si>
  <si>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</si>
  <si>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</si>
  <si>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</si>
  <si>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</si>
  <si>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</si>
  <si>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</si>
  <si>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</si>
  <si>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</si>
  <si>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</si>
  <si>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</si>
  <si>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</si>
  <si>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</si>
  <si>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</si>
  <si>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</si>
  <si>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</si>
  <si>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</si>
  <si>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</si>
  <si>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</si>
  <si>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</si>
  <si>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</si>
  <si>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</si>
  <si>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</si>
  <si>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</si>
  <si>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</si>
  <si>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</si>
  <si>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</si>
  <si>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</si>
  <si>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</si>
  <si>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</si>
  <si>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</si>
  <si>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</si>
  <si>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</si>
  <si>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</si>
  <si>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</si>
  <si>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</si>
  <si>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</si>
  <si>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</si>
  <si>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</si>
  <si>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</si>
  <si>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</si>
  <si>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</si>
  <si>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</si>
  <si>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</si>
  <si>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</si>
  <si>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</si>
  <si>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</si>
  <si>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</si>
  <si>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</si>
  <si>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</si>
  <si>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</si>
  <si>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</si>
  <si>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</si>
  <si>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</si>
  <si>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</si>
  <si>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</si>
  <si>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</si>
  <si>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</si>
  <si>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</si>
  <si>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</si>
  <si>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</si>
  <si>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</si>
  <si>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</si>
  <si>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</si>
  <si>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</si>
  <si>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</si>
  <si>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</si>
  <si>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</si>
  <si>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</si>
  <si>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</si>
  <si>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</si>
  <si>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</si>
  <si>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</si>
  <si>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</si>
  <si>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</si>
  <si>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</si>
  <si>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</si>
  <si>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</si>
  <si>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</si>
  <si>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</si>
  <si>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</si>
  <si>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</si>
  <si>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</si>
  <si>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</si>
  <si>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</si>
  <si>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</si>
  <si>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</si>
  <si>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</si>
  <si>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</si>
  <si>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</si>
  <si>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</si>
  <si>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</si>
  <si>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</si>
  <si>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</si>
  <si>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</si>
  <si>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</si>
  <si>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</si>
  <si>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</si>
  <si>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</si>
  <si>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</si>
  <si>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</si>
  <si>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</si>
  <si>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</si>
  <si>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</si>
  <si>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</si>
  <si>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</si>
  <si>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</si>
  <si>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</si>
  <si>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</si>
  <si>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</si>
  <si>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</si>
  <si>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</si>
  <si>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</si>
  <si>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</si>
  <si>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</si>
  <si>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</si>
  <si>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</si>
  <si>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</si>
  <si>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</si>
  <si>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</si>
  <si>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</si>
  <si>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</si>
  <si>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</si>
  <si>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</si>
  <si>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</si>
  <si>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</si>
  <si>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</si>
  <si>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</si>
  <si>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</si>
  <si>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</si>
  <si>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</si>
  <si>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</si>
  <si>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</si>
  <si>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</si>
  <si>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</si>
  <si>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</si>
  <si>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</si>
  <si>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</si>
  <si>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</si>
  <si>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</si>
  <si>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</si>
  <si>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</si>
  <si>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</si>
  <si>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</si>
  <si>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</si>
  <si>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</si>
  <si>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</si>
  <si>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</si>
  <si>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</si>
  <si>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</si>
  <si>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</si>
  <si>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</si>
  <si>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</si>
  <si>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</si>
  <si>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</si>
  <si>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</si>
  <si>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</si>
  <si>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</si>
  <si>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</si>
  <si>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</si>
  <si>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</si>
  <si>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</si>
  <si>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</si>
  <si>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</si>
  <si>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</si>
  <si>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</si>
  <si>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</si>
  <si>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</si>
  <si>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</si>
  <si>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</si>
  <si>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</si>
  <si>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</si>
  <si>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</si>
  <si>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</si>
  <si>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</si>
  <si>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</si>
  <si>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</si>
  <si>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</si>
  <si>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</si>
  <si>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</si>
  <si>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</si>
  <si>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</si>
  <si>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</si>
  <si>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</si>
  <si>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</si>
  <si>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</si>
  <si>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</si>
  <si>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</si>
  <si>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</si>
  <si>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</si>
  <si>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</si>
  <si>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</si>
  <si>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</si>
  <si>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</si>
  <si>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</si>
  <si>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</si>
  <si>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</si>
  <si>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</si>
  <si>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</si>
  <si>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</si>
  <si>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</si>
  <si>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</si>
  <si>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</si>
  <si>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</si>
  <si>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</si>
  <si>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</si>
  <si>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</si>
  <si>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</si>
  <si>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</si>
  <si>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</si>
  <si>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</si>
  <si>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</si>
  <si>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</si>
  <si>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</si>
  <si>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</si>
  <si>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</si>
  <si>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</si>
  <si>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</si>
  <si>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</si>
  <si>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</si>
  <si>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</si>
  <si>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</si>
  <si>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</si>
  <si>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</si>
  <si>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</si>
  <si>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</si>
  <si>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</si>
  <si>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</si>
  <si>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</si>
  <si>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</si>
  <si>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</si>
  <si>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</si>
  <si>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</si>
  <si>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</si>
  <si>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</si>
  <si>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</si>
  <si>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</si>
  <si>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</si>
  <si>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</si>
  <si>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</si>
  <si>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</si>
  <si>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</si>
  <si>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</si>
  <si>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</si>
  <si>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</si>
  <si>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</si>
  <si>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</si>
  <si>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</si>
  <si>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</si>
  <si>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</si>
  <si>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</si>
  <si>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</si>
  <si>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</si>
  <si>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</si>
  <si>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</si>
  <si>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</si>
  <si>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</si>
  <si>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</si>
  <si>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</si>
  <si>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</si>
  <si>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</si>
  <si>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</si>
  <si>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</si>
  <si>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</si>
  <si>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</si>
  <si>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</si>
  <si>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</si>
  <si>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</si>
  <si>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</si>
  <si>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</si>
  <si>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</si>
  <si>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</si>
  <si>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</si>
  <si>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</si>
  <si>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</si>
  <si>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</si>
  <si>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</si>
  <si>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</si>
  <si>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</si>
  <si>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</si>
  <si>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</si>
  <si>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</si>
  <si>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</si>
  <si>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</si>
  <si>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</si>
  <si>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</si>
  <si>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</si>
  <si>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</si>
  <si>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</si>
  <si>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</si>
  <si>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</si>
  <si>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</si>
  <si>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</si>
  <si>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</si>
  <si>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</si>
  <si>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</si>
  <si>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</si>
  <si>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</si>
  <si>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</si>
  <si>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</si>
  <si>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</si>
  <si>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</si>
  <si>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</si>
  <si>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</si>
  <si>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</si>
  <si>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</si>
  <si>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</si>
  <si>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</si>
  <si>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</si>
  <si>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</si>
  <si>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</si>
  <si>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</si>
  <si>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</si>
  <si>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</si>
  <si>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</si>
  <si>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</si>
  <si>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</si>
  <si>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</si>
  <si>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</si>
  <si>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</si>
  <si>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</si>
  <si>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</si>
  <si>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</si>
  <si>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</si>
  <si>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</si>
  <si>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</si>
  <si>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</si>
  <si>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</si>
  <si>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</si>
  <si>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</si>
  <si>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</si>
  <si>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</si>
  <si>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</si>
  <si>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</si>
  <si>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</si>
  <si>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</si>
  <si>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</si>
  <si>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</si>
  <si>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</si>
  <si>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</si>
  <si>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</si>
  <si>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</si>
  <si>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</si>
  <si>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</si>
  <si>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</si>
  <si>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</si>
  <si>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</si>
  <si>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</si>
  <si>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</si>
  <si>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</si>
  <si>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</si>
  <si>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</si>
  <si>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</si>
  <si>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</si>
  <si>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</si>
  <si>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</si>
  <si>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</si>
  <si>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</si>
  <si>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</si>
  <si>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</si>
  <si>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</si>
  <si>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</si>
  <si>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</si>
  <si>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</si>
  <si>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</si>
  <si>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</si>
  <si>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</si>
  <si>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</si>
  <si>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</si>
  <si>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</si>
  <si>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</si>
  <si>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</si>
  <si>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</si>
  <si>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</si>
  <si>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</si>
  <si>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</si>
  <si>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</si>
  <si>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</si>
  <si>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</si>
  <si>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</si>
  <si>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</si>
  <si>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</si>
  <si>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</si>
  <si>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</si>
  <si>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</si>
  <si>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</si>
  <si>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</si>
  <si>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</si>
  <si>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</si>
  <si>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</si>
  <si>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</si>
  <si>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</si>
  <si>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</si>
  <si>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</si>
  <si>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</si>
  <si>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</si>
  <si>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</si>
  <si>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</si>
  <si>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</si>
  <si>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</si>
  <si>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</si>
  <si>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</si>
  <si>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</si>
  <si>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</si>
  <si>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</si>
  <si>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</si>
  <si>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</si>
  <si>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</si>
  <si>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</si>
  <si>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</si>
  <si>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</si>
  <si>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</si>
  <si>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</si>
  <si>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</si>
  <si>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</si>
  <si>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</si>
  <si>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</si>
  <si>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</si>
  <si>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</si>
  <si>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</si>
  <si>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</si>
  <si>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</si>
  <si>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</si>
  <si>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</si>
  <si>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</si>
  <si>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</si>
  <si>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</si>
  <si>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</si>
  <si>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</si>
  <si>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</si>
  <si>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</si>
  <si>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</si>
  <si>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</si>
  <si>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</si>
  <si>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</si>
  <si>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</si>
  <si>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</si>
  <si>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</si>
  <si>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</si>
  <si>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</si>
  <si>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</si>
  <si>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</si>
  <si>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</si>
  <si>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</si>
  <si>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</si>
  <si>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</si>
  <si>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</si>
  <si>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</si>
  <si>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</si>
  <si>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</si>
  <si>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</si>
  <si>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</si>
  <si>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</si>
  <si>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</si>
  <si>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</si>
  <si>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</si>
  <si>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</si>
  <si>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</si>
  <si>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</si>
  <si>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</si>
  <si>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</si>
  <si>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</si>
  <si>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</si>
  <si>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</si>
  <si>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</si>
  <si>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</si>
  <si>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</si>
  <si>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</si>
  <si>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</si>
  <si>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</si>
  <si>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</si>
  <si>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</si>
  <si>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</si>
  <si>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</si>
  <si>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</si>
  <si>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</si>
  <si>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</si>
  <si>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</si>
  <si>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</si>
  <si>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</si>
  <si>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</si>
  <si>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</si>
  <si>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</si>
  <si>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</si>
  <si>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</si>
  <si>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</si>
  <si>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</si>
  <si>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</si>
  <si>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</si>
  <si>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</si>
  <si>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</si>
  <si>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</si>
  <si>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</si>
  <si>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</si>
  <si>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</si>
  <si>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</si>
  <si>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</si>
  <si>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</si>
  <si>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</si>
  <si>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</si>
  <si>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</si>
  <si>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</si>
  <si>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</si>
  <si>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</si>
  <si>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</si>
  <si>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</si>
  <si>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</si>
  <si>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</si>
  <si>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</si>
  <si>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</si>
  <si>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</si>
  <si>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</si>
  <si>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</si>
  <si>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</si>
  <si>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</si>
  <si>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</si>
  <si>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</si>
  <si>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</si>
  <si>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</si>
  <si>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</si>
  <si>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</si>
  <si>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</si>
  <si>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</si>
  <si>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</si>
  <si>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</si>
  <si>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</si>
  <si>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</si>
  <si>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</si>
  <si>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</si>
  <si>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</si>
  <si>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</si>
  <si>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</si>
  <si>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</si>
  <si>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</si>
  <si>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</si>
  <si>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</si>
  <si>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</si>
  <si>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</si>
  <si>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</si>
  <si>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</si>
  <si>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</si>
  <si>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</si>
  <si>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</si>
  <si>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</si>
  <si>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</si>
  <si>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</si>
  <si>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</si>
  <si>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</si>
  <si>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</si>
  <si>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</si>
  <si>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</si>
  <si>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</si>
  <si>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</si>
  <si>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</si>
  <si>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</si>
  <si>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</si>
  <si>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</si>
  <si>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</si>
  <si>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</si>
  <si>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</si>
  <si>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</si>
  <si>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</si>
  <si>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</si>
  <si>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</si>
  <si>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</si>
  <si>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</si>
  <si>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</si>
  <si>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</si>
  <si>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</si>
  <si>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</si>
  <si>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</si>
  <si>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</si>
  <si>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</si>
  <si>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</si>
  <si>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</si>
  <si>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</si>
  <si>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</si>
  <si>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</si>
  <si>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</si>
  <si>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</si>
  <si>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</si>
  <si>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</si>
  <si>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</si>
  <si>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</si>
  <si>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</si>
  <si>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</si>
  <si>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</si>
  <si>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</si>
  <si>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</si>
  <si>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</si>
  <si>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</si>
  <si>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</si>
  <si>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</si>
  <si>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</si>
  <si>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</si>
  <si>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</si>
  <si>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</si>
  <si>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</si>
  <si>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</si>
  <si>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</si>
  <si>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</si>
  <si>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</si>
  <si>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</si>
  <si>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</si>
  <si>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</si>
  <si>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</si>
  <si>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</si>
  <si>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</si>
  <si>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</si>
  <si>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</si>
  <si>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</si>
  <si>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</si>
  <si>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</si>
  <si>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</si>
  <si>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</si>
  <si>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</si>
  <si>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</si>
  <si>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</si>
  <si>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</si>
  <si>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</si>
  <si>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</si>
  <si>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</si>
  <si>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</si>
  <si>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</si>
  <si>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</si>
  <si>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</si>
  <si>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</si>
  <si>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</si>
  <si>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</si>
  <si>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</si>
  <si>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</si>
  <si>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</si>
  <si>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</si>
  <si>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</si>
  <si>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</si>
  <si>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</si>
  <si>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</si>
  <si>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</si>
  <si>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</si>
  <si>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</si>
  <si>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</si>
  <si>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</si>
  <si>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</si>
  <si>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</si>
  <si>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</si>
  <si>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</si>
  <si>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</si>
  <si>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</si>
  <si>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</si>
  <si>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</si>
  <si>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</si>
  <si>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</si>
  <si>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</si>
  <si>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</si>
  <si>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</si>
  <si>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</si>
  <si>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</si>
  <si>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</si>
  <si>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</si>
  <si>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</si>
  <si>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</si>
  <si>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</si>
  <si>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</si>
  <si>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</si>
  <si>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</si>
  <si>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</si>
  <si>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</si>
  <si>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</si>
  <si>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</si>
  <si>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</si>
  <si>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</si>
  <si>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</si>
  <si>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</si>
  <si>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</si>
  <si>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</si>
  <si>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</si>
  <si>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</si>
  <si>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</si>
  <si>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</si>
  <si>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</si>
  <si>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</si>
  <si>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</si>
  <si>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</si>
  <si>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</si>
  <si>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</si>
  <si>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</si>
  <si>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</si>
  <si>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</si>
  <si>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</si>
  <si>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</si>
  <si>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</si>
  <si>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</si>
  <si>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</si>
  <si>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</si>
  <si>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</si>
  <si>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</si>
  <si>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</si>
  <si>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</si>
  <si>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</si>
  <si>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</si>
  <si>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</si>
  <si>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</si>
  <si>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</si>
  <si>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</si>
  <si>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</si>
  <si>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</si>
  <si>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</si>
  <si>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</si>
  <si>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</si>
  <si>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</si>
  <si>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</si>
  <si>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</si>
  <si>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</si>
  <si>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</si>
  <si>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</si>
  <si>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</si>
  <si>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</si>
  <si>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</si>
  <si>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</si>
  <si>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</si>
  <si>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</si>
  <si>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</si>
  <si>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</si>
  <si>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</si>
  <si>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</si>
  <si>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</si>
  <si>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</si>
  <si>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</si>
  <si>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</si>
  <si>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</si>
  <si>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</si>
  <si>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</si>
  <si>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</si>
  <si>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</si>
  <si>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</si>
  <si>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</si>
  <si>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</si>
  <si>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</si>
  <si>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</si>
  <si>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</si>
  <si>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</si>
  <si>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</si>
  <si>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</si>
  <si>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</si>
  <si>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</si>
  <si>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</si>
  <si>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</si>
  <si>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</si>
  <si>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</si>
  <si>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</si>
  <si>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</si>
  <si>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</si>
  <si>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</si>
  <si>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</si>
  <si>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</si>
  <si>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</si>
  <si>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</si>
  <si>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</si>
  <si>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</si>
  <si>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</si>
  <si>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</si>
  <si>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</si>
  <si>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</si>
  <si>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</si>
  <si>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</si>
  <si>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</si>
  <si>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</si>
  <si>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</si>
  <si>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</si>
  <si>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</si>
  <si>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</si>
  <si>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</si>
  <si>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</si>
  <si>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</si>
  <si>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</si>
  <si>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</si>
  <si>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</si>
  <si>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</si>
  <si>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</si>
  <si>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</si>
  <si>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</si>
  <si>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</si>
  <si>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</si>
  <si>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</si>
  <si>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</si>
  <si>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</si>
  <si>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</si>
  <si>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</si>
  <si>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</si>
  <si>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</si>
  <si>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</si>
  <si>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</si>
  <si>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</si>
  <si>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</si>
  <si>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</si>
  <si>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</si>
  <si>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</si>
  <si>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</si>
  <si>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</si>
  <si>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</si>
  <si>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</si>
  <si>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</si>
  <si>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</si>
  <si>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</si>
  <si>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</si>
  <si>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</si>
  <si>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</si>
  <si>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</si>
  <si>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</si>
  <si>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</si>
  <si>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</si>
  <si>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</si>
  <si>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</si>
  <si>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</si>
  <si>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</si>
  <si>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</si>
  <si>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</si>
  <si>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</si>
  <si>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</si>
  <si>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</si>
  <si>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</si>
  <si>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</si>
  <si>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</si>
  <si>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</si>
  <si>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</si>
  <si>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</si>
  <si>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</si>
  <si>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</si>
  <si>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</si>
  <si>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</si>
  <si>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</si>
  <si>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</si>
  <si>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</si>
  <si>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</si>
  <si>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</si>
  <si>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</si>
  <si>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</si>
  <si>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</si>
  <si>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</si>
  <si>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</si>
  <si>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</si>
  <si>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</si>
  <si>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</si>
  <si>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</si>
  <si>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</si>
  <si>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</si>
  <si>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</si>
  <si>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</si>
  <si>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</si>
  <si>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</si>
  <si>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</si>
  <si>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</si>
  <si>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</si>
  <si>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</si>
  <si>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</si>
  <si>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</si>
  <si>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</si>
  <si>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</si>
  <si>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</si>
  <si>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</si>
  <si>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</si>
  <si>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</si>
  <si>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</si>
  <si>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</si>
  <si>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</si>
  <si>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</si>
  <si>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</si>
  <si>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</si>
  <si>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</si>
  <si>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</si>
  <si>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</si>
  <si>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</si>
  <si>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</si>
  <si>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</si>
  <si>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</si>
  <si>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</si>
  <si>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</si>
  <si>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</si>
  <si>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</si>
  <si>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</si>
  <si>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</si>
  <si>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</si>
  <si>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</si>
  <si>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</si>
  <si>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</si>
  <si>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</si>
  <si>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</si>
  <si>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</si>
  <si>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</si>
  <si>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</si>
  <si>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</si>
  <si>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</si>
  <si>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</si>
  <si>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</si>
  <si>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</si>
  <si>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</si>
  <si>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</si>
  <si>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</si>
  <si>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</si>
  <si>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</si>
  <si>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</si>
  <si>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</si>
  <si>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</si>
  <si>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</si>
  <si>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</si>
  <si>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</si>
  <si>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</si>
  <si>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</si>
  <si>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</si>
  <si>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</si>
  <si>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</si>
  <si>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</si>
  <si>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</si>
  <si>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</si>
  <si>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</si>
  <si>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</si>
  <si>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</si>
  <si>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</si>
  <si>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</si>
  <si>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</si>
  <si>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</si>
  <si>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</si>
  <si>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</si>
  <si>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</si>
  <si>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</si>
  <si>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</si>
  <si>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</si>
  <si>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</si>
  <si>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</si>
  <si>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</si>
  <si>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</si>
  <si>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</si>
  <si>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</si>
  <si>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</si>
  <si>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</si>
  <si>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</si>
  <si>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</si>
  <si>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</si>
  <si>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</si>
  <si>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</si>
  <si>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</si>
  <si>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</si>
  <si>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</si>
  <si>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</si>
  <si>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</si>
  <si>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</si>
  <si>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</si>
  <si>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</si>
  <si>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</si>
  <si>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</si>
  <si>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</si>
  <si>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</si>
  <si>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</si>
  <si>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</si>
  <si>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</si>
  <si>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</si>
  <si>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</si>
  <si>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</si>
  <si>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</si>
  <si>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</si>
  <si>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</si>
  <si>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</si>
  <si>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</si>
  <si>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</si>
  <si>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</si>
  <si>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</si>
  <si>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</si>
  <si>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</si>
  <si>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</si>
  <si>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</si>
  <si>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</si>
  <si>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</si>
  <si>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</si>
  <si>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</si>
  <si>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</si>
  <si>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</si>
  <si>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</si>
  <si>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</si>
  <si>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</si>
  <si>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</si>
  <si>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</si>
  <si>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</si>
  <si>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</si>
  <si>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</si>
  <si>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</si>
  <si>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</si>
  <si>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</si>
  <si>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</si>
  <si>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</si>
  <si>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</si>
  <si>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</si>
  <si>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</si>
  <si>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</si>
  <si>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</si>
  <si>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</si>
  <si>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</si>
  <si>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</si>
  <si>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</si>
  <si>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</si>
  <si>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</si>
  <si>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</si>
  <si>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</si>
  <si>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</si>
  <si>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</si>
  <si>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</si>
  <si>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</si>
  <si>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</si>
  <si>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</si>
  <si>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</si>
  <si>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</si>
  <si>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</si>
  <si>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</si>
  <si>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</si>
  <si>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</si>
  <si>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</si>
  <si>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</si>
  <si>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</si>
  <si>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</si>
  <si>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</si>
  <si>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</si>
  <si>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</si>
  <si>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</si>
  <si>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</si>
  <si>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</si>
  <si>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</si>
  <si>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</si>
  <si>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</si>
  <si>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</si>
  <si>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</si>
  <si>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</si>
  <si>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</si>
  <si>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</si>
  <si>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</si>
  <si>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</si>
  <si>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</si>
  <si>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</si>
  <si>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</si>
  <si>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</si>
  <si>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</si>
  <si>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</si>
  <si>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</si>
  <si>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</si>
  <si>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</si>
  <si>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</si>
  <si>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</si>
  <si>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</si>
  <si>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</si>
  <si>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</si>
  <si>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</si>
  <si>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</si>
  <si>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</si>
  <si>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</si>
  <si>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</si>
  <si>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</si>
  <si>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</si>
  <si>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</si>
  <si>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</si>
  <si>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</si>
  <si>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</si>
  <si>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</si>
  <si>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</si>
  <si>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</si>
  <si>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</si>
  <si>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</si>
  <si>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</si>
  <si>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</si>
  <si>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</si>
  <si>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</si>
  <si>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</si>
  <si>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</si>
  <si>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</si>
  <si>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</si>
  <si>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</si>
  <si>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</si>
  <si>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</si>
  <si>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</si>
  <si>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</si>
  <si>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</si>
  <si>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</si>
  <si>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</si>
  <si>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</si>
  <si>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</si>
  <si>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</si>
  <si>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</si>
  <si>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</si>
  <si>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</si>
  <si>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</si>
  <si>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</si>
  <si>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</si>
  <si>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</si>
  <si>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</si>
  <si>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</si>
  <si>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</si>
  <si>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</si>
  <si>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</si>
  <si>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</si>
  <si>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</si>
  <si>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</si>
  <si>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</si>
  <si>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</si>
  <si>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</si>
  <si>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</si>
  <si>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</si>
  <si>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</si>
  <si>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</si>
  <si>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</si>
  <si>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</si>
  <si>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</si>
  <si>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</si>
  <si>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</si>
  <si>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</si>
  <si>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</si>
  <si>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</si>
  <si>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</si>
  <si>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</si>
  <si>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</si>
  <si>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</si>
  <si>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</si>
  <si>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</si>
  <si>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</si>
  <si>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</si>
  <si>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</si>
  <si>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</si>
  <si>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</si>
  <si>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</si>
  <si>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</si>
  <si>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</si>
  <si>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</si>
  <si>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</si>
  <si>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</si>
  <si>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</si>
  <si>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</si>
  <si>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</si>
  <si>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</si>
  <si>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</si>
  <si>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</si>
  <si>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</si>
  <si>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</si>
  <si>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</si>
  <si>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</si>
  <si>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</si>
  <si>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</si>
  <si>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</si>
  <si>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</si>
  <si>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</si>
  <si>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</si>
  <si>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</si>
  <si>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</si>
  <si>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</si>
  <si>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</si>
  <si>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</si>
  <si>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</si>
  <si>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</si>
  <si>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</si>
  <si>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</si>
  <si>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</si>
  <si>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</si>
  <si>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</si>
  <si>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</si>
  <si>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</si>
  <si>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</si>
  <si>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</si>
  <si>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</si>
  <si>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</si>
  <si>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</si>
  <si>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</si>
  <si>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</si>
  <si>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</si>
  <si>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</si>
  <si>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</si>
  <si>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</si>
  <si>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</si>
  <si>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</si>
  <si>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</si>
  <si>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</si>
  <si>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</si>
  <si>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</si>
  <si>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</si>
  <si>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</si>
  <si>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</si>
  <si>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</si>
  <si>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</si>
  <si>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</si>
  <si>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</si>
  <si>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</si>
  <si>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</si>
  <si>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</si>
  <si>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</si>
  <si>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</si>
  <si>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</si>
  <si>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</si>
  <si>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</si>
  <si>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</si>
  <si>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</si>
  <si>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</si>
  <si>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</si>
  <si>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</si>
  <si>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</si>
  <si>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</si>
  <si>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</si>
  <si>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</si>
  <si>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</si>
  <si>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</si>
  <si>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</si>
  <si>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</si>
  <si>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</si>
  <si>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</si>
  <si>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</si>
  <si>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</si>
  <si>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</si>
  <si>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</si>
  <si>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</si>
  <si>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</si>
  <si>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</si>
  <si>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</si>
  <si>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</si>
  <si>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</si>
  <si>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</si>
  <si>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</si>
  <si>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</si>
  <si>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</si>
  <si>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</si>
  <si>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</si>
  <si>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</si>
  <si>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</si>
  <si>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</si>
  <si>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</si>
  <si>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</si>
  <si>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</si>
  <si>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</si>
  <si>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</si>
  <si>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</si>
  <si>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</si>
  <si>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</si>
  <si>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</si>
  <si>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</si>
  <si>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</si>
  <si>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</si>
  <si>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</si>
  <si>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</si>
  <si>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</si>
  <si>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</si>
  <si>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</si>
  <si>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</si>
  <si>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</si>
  <si>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</si>
  <si>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</si>
  <si>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</si>
  <si>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</si>
  <si>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</si>
  <si>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</si>
  <si>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</si>
  <si>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</si>
  <si>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</si>
  <si>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</si>
  <si>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</si>
  <si>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</si>
  <si>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</si>
  <si>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</si>
  <si>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</si>
  <si>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</si>
  <si>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</si>
  <si>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</si>
  <si>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</si>
  <si>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</si>
  <si>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</si>
  <si>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</si>
  <si>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</si>
  <si>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</si>
  <si>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</si>
  <si>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</si>
  <si>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</si>
  <si>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</si>
  <si>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</si>
  <si>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</si>
  <si>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</si>
  <si>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</si>
  <si>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</si>
  <si>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</si>
  <si>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</si>
  <si>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</si>
  <si>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</si>
  <si>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</si>
  <si>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</si>
  <si>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</si>
  <si>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</si>
  <si>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</si>
  <si>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</si>
  <si>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</si>
  <si>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</si>
  <si>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</si>
  <si>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</si>
  <si>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</si>
  <si>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</si>
  <si>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</si>
  <si>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</si>
  <si>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</si>
  <si>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</si>
  <si>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</si>
  <si>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</si>
  <si>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</si>
  <si>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</si>
  <si>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</si>
  <si>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</si>
  <si>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</si>
  <si>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</si>
  <si>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</si>
  <si>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</si>
  <si>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</si>
  <si>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</si>
  <si>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</si>
  <si>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</si>
  <si>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</si>
  <si>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</si>
  <si>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</si>
  <si>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</si>
  <si>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</si>
  <si>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</si>
  <si>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</si>
  <si>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</si>
  <si>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</si>
  <si>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</si>
  <si>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</si>
  <si>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</si>
  <si>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</si>
  <si>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</si>
  <si>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</si>
  <si>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</si>
  <si>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</si>
  <si>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</si>
  <si>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</si>
  <si>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</si>
  <si>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</si>
  <si>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</si>
  <si>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</si>
  <si>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</si>
  <si>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</si>
  <si>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</si>
  <si>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</si>
  <si>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</si>
  <si>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</si>
  <si>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</si>
  <si>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</si>
  <si>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</si>
  <si>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</si>
  <si>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</si>
  <si>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</si>
  <si>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</si>
  <si>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</si>
  <si>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</si>
  <si>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</si>
  <si>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</si>
  <si>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</si>
  <si>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</si>
  <si>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</si>
  <si>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</si>
  <si>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</si>
  <si>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</si>
  <si>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</si>
  <si>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</si>
  <si>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</si>
  <si>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</si>
  <si>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</si>
  <si>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</si>
  <si>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</si>
  <si>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</si>
  <si>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</si>
  <si>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</si>
  <si>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</si>
  <si>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</si>
  <si>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</si>
  <si>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</si>
  <si>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</si>
  <si>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</si>
  <si>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</si>
  <si>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</si>
  <si>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</si>
  <si>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</si>
  <si>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</si>
  <si>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</si>
  <si>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</si>
  <si>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</si>
  <si>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</si>
  <si>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</si>
  <si>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</si>
  <si>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</si>
  <si>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</si>
  <si>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</si>
  <si>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</si>
  <si>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</si>
  <si>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</si>
  <si>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</si>
  <si>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</si>
  <si>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</si>
  <si>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</si>
  <si>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</si>
  <si>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</si>
  <si>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</si>
  <si>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</si>
  <si>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</si>
  <si>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</si>
  <si>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</si>
  <si>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</si>
  <si>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</si>
  <si>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</si>
  <si>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</si>
  <si>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</si>
  <si>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</si>
  <si>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</si>
  <si>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</si>
  <si>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</si>
  <si>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</si>
  <si>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</si>
  <si>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</si>
  <si>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</si>
  <si>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</si>
  <si>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</si>
  <si>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</si>
  <si>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</si>
  <si>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</si>
  <si>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</si>
  <si>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</si>
  <si>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</si>
  <si>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</si>
  <si>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</si>
  <si>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</si>
  <si>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</si>
  <si>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</si>
  <si>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</si>
  <si>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</si>
  <si>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</si>
  <si>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</si>
  <si>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</si>
  <si>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</si>
  <si>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</si>
  <si>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</si>
  <si>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</si>
  <si>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</si>
  <si>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</si>
  <si>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</si>
  <si>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</si>
  <si>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</si>
  <si>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</si>
  <si>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</si>
  <si>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</si>
  <si>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</si>
  <si>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</si>
  <si>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</si>
  <si>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</si>
  <si>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</si>
  <si>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</si>
  <si>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</si>
  <si>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</si>
  <si>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</si>
  <si>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</si>
  <si>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</si>
  <si>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</si>
  <si>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</si>
  <si>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</si>
  <si>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</si>
  <si>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</si>
  <si>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</si>
  <si>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</si>
  <si>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</si>
  <si>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</si>
  <si>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</si>
  <si>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</si>
  <si>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</si>
  <si>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</si>
  <si>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</si>
  <si>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</si>
  <si>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</si>
  <si>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</si>
  <si>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</si>
  <si>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</si>
  <si>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</si>
  <si>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</si>
  <si>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</si>
  <si>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</si>
  <si>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</si>
  <si>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</si>
  <si>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</si>
  <si>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</si>
  <si>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</si>
  <si>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</si>
  <si>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</si>
  <si>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</si>
  <si>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</si>
  <si>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</si>
  <si>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</si>
  <si>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</si>
  <si>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</si>
  <si>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</si>
  <si>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</si>
  <si>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</si>
  <si>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</si>
  <si>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</si>
  <si>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</si>
  <si>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</si>
  <si>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</si>
  <si>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</si>
  <si>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</si>
  <si>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</si>
  <si>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</si>
  <si>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</si>
  <si>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</si>
  <si>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</si>
  <si>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</si>
  <si>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</si>
  <si>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</si>
  <si>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</si>
  <si>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</si>
  <si>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</si>
  <si>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</si>
  <si>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</si>
  <si>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</si>
  <si>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</si>
  <si>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</si>
  <si>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</si>
  <si>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</si>
  <si>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</si>
  <si>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</si>
  <si>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</si>
  <si>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</si>
  <si>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</si>
  <si>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</si>
  <si>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</si>
  <si>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</si>
  <si>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</si>
  <si>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</si>
  <si>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</si>
  <si>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</si>
  <si>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</si>
  <si>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</si>
  <si>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</si>
  <si>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</si>
  <si>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</si>
  <si>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</si>
  <si>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</si>
  <si>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</si>
  <si>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</si>
  <si>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</si>
  <si>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</si>
  <si>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</si>
  <si>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</si>
  <si>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</si>
  <si>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</si>
  <si>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</si>
  <si>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</si>
  <si>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</si>
  <si>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</si>
  <si>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</si>
  <si>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</si>
  <si>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</si>
  <si>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</si>
  <si>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</si>
  <si>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</si>
  <si>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</si>
  <si>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</si>
  <si>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</si>
  <si>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</si>
  <si>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</si>
  <si>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</si>
  <si>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</si>
  <si>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</si>
  <si>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</si>
  <si>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</si>
  <si>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</si>
  <si>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</si>
  <si>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</si>
  <si>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</si>
  <si>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</si>
  <si>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</si>
  <si>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</si>
  <si>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</si>
  <si>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</si>
  <si>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</si>
  <si>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</si>
  <si>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</si>
  <si>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</si>
  <si>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</si>
  <si>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</si>
  <si>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</si>
  <si>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</si>
  <si>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</si>
  <si>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</si>
  <si>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</si>
  <si>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</si>
  <si>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</si>
  <si>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</si>
  <si>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</si>
  <si>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</si>
  <si>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</si>
  <si>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</si>
  <si>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</si>
  <si>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</si>
  <si>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</si>
  <si>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</si>
  <si>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</si>
  <si>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</si>
  <si>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</si>
  <si>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</si>
  <si>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</si>
  <si>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</si>
  <si>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</si>
  <si>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</si>
  <si>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</si>
  <si>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</si>
  <si>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</si>
  <si>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</si>
  <si>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</si>
  <si>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</si>
  <si>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</si>
  <si>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</si>
  <si>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</si>
  <si>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</si>
  <si>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</si>
  <si>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</si>
  <si>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</si>
  <si>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</si>
  <si>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</si>
  <si>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</si>
  <si>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</si>
  <si>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</si>
  <si>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</si>
  <si>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</si>
  <si>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</si>
  <si>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</si>
  <si>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</si>
  <si>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</si>
  <si>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</si>
  <si>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</si>
  <si>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</si>
  <si>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</si>
  <si>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</si>
  <si>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</si>
  <si>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</si>
  <si>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</si>
  <si>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</si>
  <si>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</si>
  <si>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</si>
  <si>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</si>
  <si>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</si>
  <si>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</si>
  <si>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</si>
  <si>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</si>
  <si>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</si>
  <si>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</si>
  <si>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</si>
  <si>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</si>
  <si>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</si>
  <si>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</si>
  <si>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</si>
  <si>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</si>
  <si>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</si>
  <si>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</si>
  <si>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</si>
  <si>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</si>
  <si>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</si>
  <si>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</si>
  <si>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</si>
  <si>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</si>
  <si>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</si>
  <si>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</si>
  <si>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</si>
  <si>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</si>
  <si>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</si>
  <si>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</si>
  <si>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</si>
  <si>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</si>
  <si>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</si>
  <si>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</si>
  <si>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</si>
  <si>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</si>
  <si>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</si>
  <si>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</si>
  <si>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</si>
  <si>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</si>
  <si>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</si>
  <si>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</si>
  <si>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</si>
  <si>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</si>
  <si>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</si>
  <si>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</si>
  <si>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</si>
  <si>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</si>
  <si>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</si>
  <si>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</si>
  <si>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</si>
  <si>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</si>
  <si>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</si>
  <si>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</si>
  <si>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</si>
  <si>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</si>
  <si>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</si>
  <si>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</si>
  <si>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</si>
  <si>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</si>
  <si>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</si>
  <si>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</si>
  <si>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</si>
  <si>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</si>
  <si>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</si>
  <si>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</si>
  <si>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</si>
  <si>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</si>
  <si>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</si>
  <si>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</si>
  <si>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</si>
  <si>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</si>
  <si>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</si>
  <si>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</si>
  <si>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</si>
  <si>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</si>
  <si>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</si>
  <si>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</si>
  <si>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</si>
  <si>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</si>
  <si>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</si>
  <si>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</si>
  <si>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</si>
  <si>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</si>
  <si>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</si>
  <si>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</si>
  <si>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</si>
  <si>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</si>
  <si>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</si>
  <si>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</si>
  <si>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</si>
  <si>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</si>
  <si>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</si>
  <si>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</si>
  <si>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</si>
  <si>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</si>
  <si>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</si>
  <si>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</si>
  <si>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</si>
  <si>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</si>
  <si>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</si>
  <si>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</si>
  <si>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</si>
  <si>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</si>
  <si>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</si>
  <si>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</si>
  <si>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</si>
  <si>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</si>
  <si>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</si>
  <si>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</si>
  <si>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</si>
  <si>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</si>
  <si>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</si>
  <si>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</si>
  <si>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</si>
  <si>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</si>
  <si>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</si>
  <si>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</si>
  <si>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</si>
  <si>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</si>
  <si>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</si>
  <si>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</si>
  <si>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</si>
  <si>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</si>
  <si>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</si>
  <si>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</si>
  <si>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</si>
  <si>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</si>
  <si>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</si>
  <si>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</si>
  <si>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</si>
  <si>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</si>
  <si>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</si>
  <si>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</si>
  <si>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</si>
  <si>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</si>
  <si>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</si>
  <si>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</si>
  <si>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</si>
  <si>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</si>
  <si>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</si>
  <si>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</si>
  <si>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</si>
  <si>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</si>
  <si>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</si>
  <si>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</si>
  <si>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</si>
  <si>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</si>
  <si>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</si>
  <si>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</si>
  <si>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</si>
  <si>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</si>
  <si>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</si>
  <si>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</si>
  <si>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</si>
  <si>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</si>
  <si>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</si>
  <si>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</si>
  <si>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</si>
  <si>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</si>
  <si>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</si>
  <si>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</si>
  <si>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</si>
  <si>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</si>
  <si>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</si>
  <si>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</si>
  <si>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</si>
  <si>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</si>
  <si>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</si>
  <si>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</si>
  <si>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</si>
  <si>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</si>
  <si>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</si>
  <si>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</si>
  <si>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</si>
  <si>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</si>
  <si>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</si>
  <si>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</si>
  <si>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</si>
  <si>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</si>
  <si>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</si>
  <si>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</si>
  <si>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</si>
  <si>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</si>
  <si>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</si>
  <si>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</si>
  <si>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</si>
  <si>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</si>
  <si>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</si>
  <si>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</si>
  <si>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</si>
  <si>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</si>
  <si>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</si>
  <si>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</si>
  <si>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</si>
  <si>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</si>
  <si>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</si>
  <si>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</si>
  <si>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</si>
  <si>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</si>
  <si>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</si>
  <si>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</si>
  <si>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</si>
  <si>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</si>
  <si>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</si>
  <si>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</si>
  <si>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</si>
  <si>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</si>
  <si>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</si>
  <si>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</si>
  <si>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</si>
  <si>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</si>
  <si>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</si>
  <si>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</si>
  <si>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</si>
  <si>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</si>
  <si>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</si>
  <si>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</si>
  <si>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</si>
  <si>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</si>
  <si>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</si>
  <si>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</si>
  <si>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</si>
  <si>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</si>
  <si>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</si>
  <si>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</si>
  <si>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</si>
  <si>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</si>
  <si>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</si>
  <si>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</si>
  <si>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</si>
  <si>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</si>
  <si>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</si>
  <si>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</si>
  <si>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</si>
  <si>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</si>
  <si>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</si>
  <si>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</si>
  <si>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</si>
  <si>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</si>
  <si>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</si>
  <si>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</si>
  <si>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</si>
  <si>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</si>
  <si>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</si>
  <si>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</si>
  <si>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</si>
  <si>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</si>
  <si>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</si>
  <si>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</si>
  <si>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</si>
  <si>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</si>
  <si>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</si>
  <si>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</si>
  <si>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</si>
  <si>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</si>
  <si>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</si>
  <si>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</si>
  <si>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</si>
  <si>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</si>
  <si>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</si>
  <si>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</si>
  <si>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</si>
  <si>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</si>
  <si>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</si>
  <si>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</si>
  <si>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</si>
  <si>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</si>
  <si>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</si>
  <si>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</si>
  <si>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</si>
  <si>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</si>
  <si>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</si>
  <si>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</si>
  <si>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</si>
  <si>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</si>
  <si>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</si>
  <si>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</si>
  <si>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</si>
  <si>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</si>
  <si>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</si>
  <si>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</si>
  <si>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</si>
  <si>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</si>
  <si>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</si>
  <si>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</si>
  <si>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</si>
  <si>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</si>
  <si>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</si>
  <si>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</si>
  <si>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</si>
  <si>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</si>
  <si>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</si>
  <si>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</si>
  <si>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</si>
  <si>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</si>
  <si>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</si>
  <si>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</si>
  <si>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</si>
  <si>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</si>
  <si>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</si>
  <si>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</si>
  <si>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</si>
  <si>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</si>
  <si>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</si>
  <si>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</si>
  <si>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</si>
  <si>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</si>
  <si>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</si>
  <si>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</si>
  <si>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</si>
  <si>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</si>
  <si>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</si>
  <si>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</si>
  <si>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</si>
  <si>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</si>
  <si>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</si>
  <si>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</si>
  <si>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</si>
  <si>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</si>
  <si>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</si>
  <si>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</si>
  <si>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</si>
  <si>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</si>
  <si>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</si>
  <si>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</si>
  <si>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</si>
  <si>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</si>
  <si>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</si>
  <si>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</si>
  <si>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</si>
  <si>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</si>
  <si>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</si>
  <si>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</si>
  <si>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</si>
  <si>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</si>
  <si>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</si>
  <si>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</si>
  <si>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</si>
  <si>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</si>
  <si>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</si>
  <si>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</si>
  <si>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</si>
  <si>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</si>
  <si>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</si>
  <si>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</si>
  <si>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</si>
  <si>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</si>
  <si>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</si>
  <si>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</si>
  <si>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</si>
  <si>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</si>
  <si>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</si>
  <si>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</si>
  <si>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</si>
  <si>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</si>
  <si>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</si>
  <si>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</si>
  <si>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</si>
  <si>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</si>
  <si>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</si>
  <si>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</si>
  <si>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</si>
  <si>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</si>
  <si>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</si>
  <si>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</si>
  <si>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</si>
  <si>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</si>
  <si>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</si>
  <si>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</si>
  <si>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</si>
  <si>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</si>
  <si>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</si>
  <si>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</si>
  <si>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</si>
  <si>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</si>
  <si>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</si>
  <si>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</si>
  <si>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</si>
  <si>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</si>
  <si>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</si>
  <si>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</si>
  <si>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</si>
  <si>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</si>
  <si>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</si>
  <si>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</si>
  <si>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</si>
  <si>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</si>
  <si>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</si>
  <si>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</si>
  <si>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</si>
  <si>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</si>
  <si>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</si>
  <si>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</si>
  <si>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</si>
  <si>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</si>
  <si>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</si>
  <si>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</si>
  <si>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</si>
  <si>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</si>
  <si>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</si>
  <si>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</si>
  <si>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</si>
  <si>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</si>
  <si>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</si>
  <si>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</si>
  <si>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</si>
  <si>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</si>
  <si>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</si>
  <si>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</si>
  <si>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</si>
  <si>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</si>
  <si>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</si>
  <si>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</si>
  <si>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</si>
  <si>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</si>
  <si>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</si>
  <si>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</si>
  <si>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</si>
  <si>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</si>
  <si>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</si>
  <si>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</si>
  <si>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</si>
  <si>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</si>
  <si>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</si>
  <si>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</si>
  <si>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</si>
  <si>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</si>
  <si>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</si>
  <si>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</si>
  <si>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</si>
  <si>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</si>
  <si>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</si>
  <si>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</si>
  <si>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</si>
  <si>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</si>
  <si>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</si>
  <si>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</si>
  <si>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</si>
  <si>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</si>
  <si>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</si>
  <si>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</si>
  <si>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</si>
  <si>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</si>
  <si>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</si>
  <si>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</si>
  <si>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</si>
  <si>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</si>
  <si>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</si>
  <si>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</si>
  <si>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</si>
  <si>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</si>
  <si>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</si>
  <si>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</si>
  <si>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</si>
  <si>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</si>
  <si>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</si>
  <si>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</si>
  <si>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</si>
  <si>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</si>
  <si>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</si>
  <si>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</si>
  <si>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</si>
  <si>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</si>
  <si>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</si>
  <si>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</si>
  <si>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</si>
  <si>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</si>
  <si>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</si>
  <si>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</si>
  <si>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</si>
  <si>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</si>
  <si>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</si>
  <si>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</si>
  <si>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</si>
  <si>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</si>
  <si>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</si>
  <si>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</si>
  <si>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</si>
  <si>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</si>
  <si>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</si>
  <si>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</si>
  <si>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</si>
  <si>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</si>
  <si>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</si>
  <si>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</si>
  <si>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</si>
  <si>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</si>
  <si>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</si>
  <si>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</si>
  <si>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</si>
  <si>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</si>
  <si>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</si>
  <si>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</si>
  <si>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</si>
  <si>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</si>
  <si>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</si>
  <si>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</si>
  <si>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</si>
  <si>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</si>
  <si>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</si>
  <si>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</si>
  <si>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</si>
  <si>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</si>
  <si>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</si>
  <si>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</si>
  <si>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</si>
  <si>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</si>
  <si>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</si>
  <si>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</si>
  <si>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</si>
  <si>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</si>
  <si>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</si>
  <si>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</si>
  <si>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</si>
  <si>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</si>
  <si>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</si>
  <si>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</si>
  <si>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</si>
  <si>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</si>
  <si>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</si>
  <si>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</si>
  <si>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</si>
  <si>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</si>
  <si>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</si>
  <si>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</si>
  <si>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</si>
  <si>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</si>
  <si>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</si>
  <si>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</si>
  <si>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</si>
  <si>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</si>
  <si>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</si>
  <si>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</si>
  <si>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</si>
  <si>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</si>
  <si>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</si>
  <si>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</si>
  <si>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</si>
  <si>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</si>
  <si>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</si>
  <si>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</si>
  <si>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</si>
  <si>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</si>
  <si>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</si>
  <si>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</si>
  <si>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</si>
  <si>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</si>
  <si>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</si>
  <si>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</si>
  <si>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</si>
  <si>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</si>
  <si>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</si>
  <si>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</si>
  <si>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</si>
  <si>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</si>
  <si>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</si>
  <si>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</si>
  <si>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</si>
  <si>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</si>
  <si>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</si>
  <si>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</si>
  <si>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</si>
  <si>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</si>
  <si>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</si>
  <si>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</si>
  <si>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</si>
  <si>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</si>
  <si>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</si>
  <si>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</si>
  <si>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</si>
  <si>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</si>
  <si>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</si>
  <si>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</si>
  <si>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</si>
  <si>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</si>
  <si>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</si>
  <si>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</si>
  <si>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</si>
  <si>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</si>
  <si>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</si>
  <si>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</si>
  <si>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</si>
  <si>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</si>
  <si>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</si>
  <si>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</si>
  <si>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</si>
  <si>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</si>
  <si>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</si>
  <si>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</si>
  <si>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</si>
  <si>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</si>
  <si>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</si>
  <si>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</si>
  <si>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</si>
  <si>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</si>
  <si>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</si>
  <si>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</si>
  <si>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</si>
  <si>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</si>
  <si>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</si>
  <si>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</si>
  <si>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</si>
  <si>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</si>
  <si>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</si>
  <si>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</si>
  <si>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</si>
  <si>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</si>
  <si>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</si>
  <si>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</si>
  <si>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</si>
  <si>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</si>
  <si>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</si>
  <si>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</si>
  <si>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</si>
  <si>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</si>
  <si>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</si>
  <si>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</si>
  <si>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</si>
  <si>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</si>
  <si>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</si>
  <si>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</si>
  <si>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</si>
  <si>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</si>
  <si>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</si>
  <si>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</si>
  <si>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</si>
  <si>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</si>
  <si>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</si>
  <si>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</si>
  <si>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</si>
  <si>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</si>
  <si>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</si>
  <si>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</si>
  <si>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</si>
  <si>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</si>
  <si>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</si>
  <si>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</si>
  <si>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</si>
  <si>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</si>
  <si>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</si>
  <si>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</si>
  <si>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</si>
  <si>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</si>
  <si>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</si>
  <si>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</si>
  <si>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</si>
  <si>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</si>
  <si>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</si>
  <si>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</si>
  <si>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</si>
  <si>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</si>
  <si>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</si>
  <si>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</si>
  <si>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</si>
  <si>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</si>
  <si>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</si>
  <si>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</si>
  <si>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</si>
  <si>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</si>
  <si>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</si>
  <si>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</si>
  <si>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</si>
  <si>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</si>
  <si>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</si>
  <si>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</si>
  <si>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</si>
  <si>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</si>
  <si>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</si>
  <si>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</si>
  <si>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</si>
  <si>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</si>
  <si>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</si>
  <si>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</si>
  <si>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</si>
  <si>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</si>
  <si>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</si>
  <si>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</si>
  <si>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</si>
  <si>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</si>
  <si>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</si>
  <si>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</si>
  <si>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</si>
  <si>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</si>
  <si>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</si>
  <si>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</si>
  <si>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</si>
  <si>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</si>
  <si>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</si>
  <si>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</si>
  <si>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</si>
  <si>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</si>
  <si>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</si>
  <si>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</si>
  <si>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</si>
  <si>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</si>
  <si>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</si>
  <si>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</si>
  <si>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</si>
  <si>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</si>
  <si>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</si>
  <si>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</si>
  <si>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</si>
  <si>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</si>
  <si>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</si>
  <si>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</si>
  <si>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</si>
  <si>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</si>
  <si>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</si>
  <si>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</si>
  <si>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</si>
  <si>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</si>
  <si>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</si>
  <si>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</si>
  <si>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</si>
  <si>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</si>
  <si>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</si>
  <si>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</si>
  <si>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</si>
  <si>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</si>
  <si>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</si>
  <si>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</si>
  <si>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</si>
  <si>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</si>
  <si>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</si>
  <si>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</si>
  <si>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</si>
  <si>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</si>
  <si>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</si>
  <si>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</si>
  <si>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</si>
  <si>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</si>
  <si>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</si>
  <si>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</si>
  <si>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</si>
  <si>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</si>
  <si>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</si>
  <si>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</si>
  <si>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</si>
  <si>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</si>
  <si>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</si>
  <si>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</si>
  <si>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</si>
  <si>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</si>
  <si>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</si>
  <si>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</si>
  <si>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</si>
  <si>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</si>
  <si>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</si>
  <si>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</si>
  <si>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</si>
  <si>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</si>
  <si>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</si>
  <si>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</si>
  <si>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</si>
  <si>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</si>
  <si>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</si>
  <si>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</si>
  <si>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</si>
  <si>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</si>
  <si>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</si>
  <si>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</si>
  <si>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</si>
  <si>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</si>
  <si>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</si>
  <si>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</si>
  <si>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</si>
  <si>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</si>
  <si>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</si>
  <si>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</si>
  <si>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</si>
  <si>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</si>
  <si>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</si>
  <si>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</si>
  <si>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</si>
  <si>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</si>
  <si>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</si>
  <si>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</si>
  <si>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</si>
  <si>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</si>
  <si>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</si>
  <si>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</si>
  <si>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</si>
  <si>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</si>
  <si>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</si>
  <si>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</si>
  <si>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</si>
  <si>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</si>
  <si>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</si>
  <si>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</si>
  <si>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</si>
  <si>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</si>
  <si>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</si>
  <si>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</si>
  <si>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</si>
  <si>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</si>
  <si>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</si>
  <si>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</si>
  <si>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</si>
  <si>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</si>
  <si>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</si>
  <si>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</si>
  <si>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</si>
  <si>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</si>
  <si>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</si>
  <si>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</si>
  <si>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</si>
  <si>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</si>
  <si>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</si>
  <si>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</si>
  <si>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</si>
  <si>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</si>
  <si>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</si>
  <si>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</si>
  <si>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</si>
  <si>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</si>
  <si>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</si>
  <si>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</si>
  <si>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</si>
  <si>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</si>
  <si>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</si>
  <si>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</si>
  <si>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</si>
  <si>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</si>
  <si>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</si>
  <si>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</si>
  <si>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</si>
  <si>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</si>
  <si>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</si>
  <si>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</si>
  <si>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</si>
  <si>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</si>
  <si>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</si>
  <si>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</si>
  <si>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</si>
  <si>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</si>
  <si>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</si>
  <si>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</si>
  <si>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</si>
  <si>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</si>
  <si>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</si>
  <si>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</si>
  <si>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</si>
  <si>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</si>
  <si>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</si>
  <si>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</si>
  <si>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</si>
  <si>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</si>
  <si>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</si>
  <si>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</si>
  <si>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</si>
  <si>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</si>
  <si>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</si>
  <si>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</si>
  <si>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</si>
  <si>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</si>
  <si>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</si>
  <si>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</si>
  <si>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</si>
  <si>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</si>
  <si>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</si>
  <si>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</si>
  <si>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</si>
  <si>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</si>
  <si>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</si>
  <si>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</si>
  <si>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</si>
  <si>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</si>
  <si>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</si>
  <si>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</si>
  <si>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</si>
  <si>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</si>
  <si>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</si>
  <si>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</si>
  <si>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</si>
  <si>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</si>
  <si>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</si>
  <si>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</si>
  <si>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</si>
  <si>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</si>
  <si>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</si>
  <si>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</si>
  <si>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</si>
  <si>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</si>
  <si>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</si>
  <si>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</si>
  <si>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</si>
  <si>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</si>
  <si>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</si>
  <si>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</si>
  <si>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</si>
  <si>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</si>
  <si>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</si>
  <si>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</si>
  <si>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</si>
  <si>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</si>
  <si>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</si>
  <si>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</si>
  <si>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</si>
  <si>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</si>
  <si>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</si>
  <si>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</si>
  <si>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</si>
  <si>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</si>
  <si>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</si>
  <si>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</si>
  <si>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</si>
  <si>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</si>
  <si>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</si>
  <si>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</si>
  <si>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</si>
  <si>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</si>
  <si>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</si>
  <si>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</si>
  <si>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</si>
  <si>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</si>
  <si>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</si>
  <si>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</si>
  <si>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</si>
  <si>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</si>
  <si>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</si>
  <si>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</si>
  <si>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</si>
  <si>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</si>
  <si>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</si>
  <si>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</si>
  <si>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</si>
  <si>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</si>
  <si>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</si>
  <si>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</si>
  <si>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</si>
  <si>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</si>
  <si>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</si>
  <si>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</si>
  <si>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</si>
  <si>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</si>
  <si>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</si>
  <si>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</si>
  <si>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</si>
  <si>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</si>
  <si>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</si>
  <si>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</si>
  <si>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</si>
  <si>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</si>
  <si>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</si>
  <si>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</si>
  <si>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</si>
  <si>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</si>
  <si>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</si>
  <si>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</si>
  <si>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</si>
  <si>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</si>
  <si>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</si>
  <si>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</si>
  <si>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</si>
  <si>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</si>
  <si>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</si>
  <si>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</si>
  <si>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</si>
  <si>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</si>
  <si>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</si>
  <si>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</si>
  <si>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</si>
  <si>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</si>
  <si>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</si>
  <si>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</si>
  <si>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</si>
  <si>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</si>
  <si>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</si>
  <si>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</si>
  <si>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</si>
  <si>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</si>
  <si>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</si>
  <si>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</si>
  <si>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</si>
  <si>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</si>
  <si>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</si>
  <si>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</si>
  <si>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</si>
  <si>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</si>
  <si>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</si>
  <si>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</si>
  <si>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</si>
  <si>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</si>
  <si>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</si>
  <si>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</si>
  <si>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</si>
  <si>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</si>
  <si>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</si>
  <si>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</si>
  <si>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</si>
  <si>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</si>
  <si>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</si>
  <si>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</si>
  <si>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</si>
  <si>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</si>
  <si>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</si>
  <si>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</si>
  <si>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</si>
  <si>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</si>
  <si>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</si>
  <si>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</si>
  <si>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</si>
  <si>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</si>
  <si>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</si>
  <si>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</si>
  <si>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</si>
  <si>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</si>
  <si>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</si>
  <si>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</si>
  <si>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</si>
  <si>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</si>
  <si>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</si>
  <si>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</si>
  <si>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</si>
  <si>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</si>
  <si>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</si>
  <si>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</si>
  <si>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</si>
  <si>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</si>
  <si>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</si>
  <si>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</si>
  <si>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</si>
  <si>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</si>
  <si>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</si>
  <si>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</si>
  <si>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</si>
  <si>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</si>
  <si>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</si>
  <si>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</si>
  <si>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</si>
  <si>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</si>
  <si>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</si>
  <si>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</si>
  <si>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</si>
  <si>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</si>
  <si>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</si>
  <si>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</si>
  <si>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</si>
  <si>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</si>
  <si>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</si>
  <si>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</si>
  <si>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</si>
  <si>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</si>
  <si>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</si>
  <si>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</si>
  <si>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</si>
  <si>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</si>
  <si>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</si>
  <si>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</si>
  <si>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</si>
  <si>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</si>
  <si>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</si>
  <si>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</si>
  <si>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</si>
  <si>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</si>
  <si>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</si>
  <si>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</si>
  <si>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</si>
  <si>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</si>
  <si>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</si>
  <si>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</si>
  <si>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</si>
  <si>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</si>
  <si>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</si>
  <si>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</si>
  <si>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</si>
  <si>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</si>
  <si>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</si>
  <si>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</si>
  <si>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</si>
  <si>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</si>
  <si>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</si>
  <si>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</si>
  <si>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</si>
  <si>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</si>
  <si>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</si>
  <si>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</si>
  <si>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</si>
  <si>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</si>
  <si>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</si>
  <si>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</si>
  <si>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</si>
  <si>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</si>
  <si>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</si>
  <si>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</si>
  <si>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</si>
  <si>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</si>
  <si>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</si>
  <si>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</si>
  <si>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</si>
  <si>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</si>
  <si>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</si>
  <si>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</si>
  <si>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</si>
  <si>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</si>
  <si>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</si>
  <si>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</si>
  <si>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</si>
  <si>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</si>
  <si>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</si>
  <si>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</si>
  <si>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</si>
  <si>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</si>
  <si>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</si>
  <si>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</si>
  <si>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</si>
  <si>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</si>
  <si>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</si>
  <si>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</si>
  <si>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</si>
  <si>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</si>
  <si>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</si>
  <si>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</si>
  <si>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</si>
  <si>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</si>
  <si>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</si>
  <si>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</si>
  <si>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</si>
  <si>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</si>
  <si>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</si>
  <si>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</si>
  <si>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</si>
  <si>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</si>
  <si>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</si>
  <si>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</si>
  <si>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</si>
  <si>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</si>
  <si>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</si>
  <si>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</si>
  <si>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</si>
  <si>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</si>
  <si>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</si>
  <si>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</si>
  <si>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</si>
  <si>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</si>
  <si>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</si>
  <si>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</si>
  <si>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</si>
  <si>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</si>
  <si>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</si>
  <si>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</si>
  <si>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</si>
  <si>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</si>
  <si>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</si>
  <si>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</si>
  <si>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</si>
  <si>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</si>
  <si>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</si>
  <si>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</si>
  <si>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</si>
  <si>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</si>
  <si>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</si>
  <si>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</si>
  <si>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</si>
  <si>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</si>
  <si>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</si>
  <si>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</si>
  <si>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</si>
  <si>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</si>
  <si>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</si>
  <si>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</si>
  <si>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</si>
  <si>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</si>
  <si>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</si>
  <si>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</si>
  <si>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</si>
  <si>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</si>
  <si>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</si>
  <si>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</si>
  <si>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</si>
  <si>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</si>
  <si>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</si>
  <si>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</si>
  <si>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</si>
  <si>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</si>
  <si>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</si>
  <si>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</si>
  <si>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</si>
  <si>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</si>
  <si>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</si>
  <si>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</si>
  <si>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</si>
  <si>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</si>
  <si>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</si>
  <si>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</si>
  <si>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</si>
  <si>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</si>
  <si>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</si>
  <si>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</si>
  <si>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</si>
  <si>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</si>
  <si>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</si>
  <si>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</si>
  <si>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</si>
  <si>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</si>
  <si>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</si>
  <si>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</si>
  <si>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</si>
  <si>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</si>
  <si>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</si>
  <si>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</si>
  <si>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</si>
  <si>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</si>
  <si>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</si>
  <si>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</si>
  <si>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</si>
  <si>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</si>
  <si>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</si>
  <si>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</si>
  <si>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</si>
  <si>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</si>
  <si>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</si>
  <si>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</si>
  <si>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</si>
  <si>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</si>
  <si>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</si>
  <si>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</si>
  <si>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</si>
  <si>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</si>
  <si>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</si>
  <si>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</si>
  <si>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</si>
  <si>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</si>
  <si>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</si>
  <si>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</si>
  <si>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</si>
  <si>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</si>
  <si>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</si>
  <si>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</si>
  <si>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</si>
  <si>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</si>
  <si>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</si>
  <si>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</si>
  <si>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</si>
  <si>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</si>
  <si>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</si>
  <si>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</si>
  <si>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</si>
  <si>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</si>
  <si>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</si>
  <si>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</si>
  <si>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</si>
  <si>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</si>
  <si>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</si>
  <si>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</si>
  <si>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</si>
  <si>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</si>
  <si>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</si>
  <si>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</si>
  <si>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</si>
  <si>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</si>
  <si>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</si>
  <si>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</si>
  <si>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</si>
  <si>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</si>
  <si>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</si>
  <si>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</si>
  <si>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</si>
  <si>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</si>
  <si>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</si>
  <si>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</si>
  <si>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</si>
  <si>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</si>
  <si>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</si>
  <si>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</si>
  <si>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</si>
  <si>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</si>
  <si>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</si>
  <si>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</si>
  <si>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</si>
  <si>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</si>
  <si>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</si>
  <si>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</si>
  <si>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</si>
  <si>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</si>
  <si>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</si>
  <si>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</si>
  <si>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</si>
  <si>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</si>
  <si>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</si>
  <si>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</si>
  <si>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</si>
  <si>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</si>
  <si>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</si>
  <si>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</si>
  <si>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</si>
  <si>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</si>
  <si>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</si>
  <si>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</si>
  <si>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</si>
  <si>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</si>
  <si>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</si>
  <si>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</si>
  <si>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</si>
  <si>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</si>
  <si>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</si>
  <si>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</si>
  <si>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</si>
  <si>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</si>
  <si>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</si>
  <si>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</si>
  <si>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</si>
  <si>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</si>
  <si>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</si>
  <si>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</si>
  <si>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</si>
  <si>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</si>
  <si>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</si>
  <si>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</si>
  <si>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</si>
  <si>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</si>
  <si>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</si>
  <si>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</si>
  <si>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</si>
  <si>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</si>
  <si>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</si>
  <si>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</si>
  <si>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</si>
  <si>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</si>
  <si>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</si>
  <si>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</si>
  <si>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</si>
  <si>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</si>
  <si>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</si>
  <si>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</si>
  <si>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</si>
  <si>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</si>
  <si>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</si>
  <si>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</si>
  <si>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</si>
  <si>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</si>
  <si>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</si>
  <si>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</si>
  <si>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</si>
  <si>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</si>
  <si>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</si>
  <si>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</si>
  <si>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</si>
  <si>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</si>
  <si>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</si>
  <si>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</si>
  <si>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</si>
  <si>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</si>
  <si>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</si>
  <si>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</si>
  <si>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</si>
  <si>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</si>
  <si>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</si>
  <si>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</si>
  <si>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</si>
  <si>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</si>
  <si>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</si>
  <si>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</si>
  <si>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</si>
  <si>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</si>
  <si>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</si>
  <si>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</si>
  <si>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</si>
  <si>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</si>
  <si>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</si>
  <si>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</si>
  <si>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</si>
  <si>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</si>
  <si>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</si>
  <si>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</si>
  <si>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</si>
  <si>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</si>
  <si>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</si>
  <si>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</si>
  <si>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</si>
  <si>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</si>
  <si>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</si>
  <si>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</si>
  <si>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</si>
  <si>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</si>
  <si>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</si>
  <si>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</si>
  <si>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</si>
  <si>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</si>
  <si>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</si>
  <si>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</si>
  <si>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</si>
  <si>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</si>
  <si>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</si>
  <si>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</si>
  <si>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</si>
  <si>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</si>
  <si>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</si>
  <si>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</si>
  <si>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</si>
  <si>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</si>
  <si>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</si>
  <si>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</si>
  <si>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</si>
  <si>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</si>
  <si>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</si>
  <si>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</si>
  <si>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</si>
  <si>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</si>
  <si>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</si>
  <si>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</si>
  <si>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</si>
  <si>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</si>
  <si>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</si>
  <si>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</si>
  <si>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</si>
  <si>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</si>
  <si>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</si>
  <si>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</si>
  <si>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</si>
  <si>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</si>
  <si>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</si>
  <si>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</si>
  <si>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</si>
  <si>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</si>
  <si>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</si>
  <si>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</si>
  <si>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</si>
  <si>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</si>
  <si>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</si>
  <si>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</si>
  <si>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</si>
  <si>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</si>
  <si>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</si>
  <si>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</si>
  <si>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</si>
  <si>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</si>
  <si>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</si>
  <si>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</si>
  <si>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</si>
  <si>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</si>
  <si>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</si>
  <si>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</si>
  <si>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</si>
  <si>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</si>
  <si>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</si>
  <si>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</si>
  <si>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</si>
  <si>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</si>
  <si>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</si>
  <si>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</si>
  <si>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</si>
  <si>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</si>
  <si>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</si>
  <si>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</si>
  <si>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</si>
  <si>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</si>
  <si>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</si>
  <si>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</si>
  <si>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</si>
  <si>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</si>
  <si>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</si>
  <si>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</si>
  <si>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</si>
  <si>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</si>
  <si>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</si>
  <si>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</si>
  <si>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</si>
  <si>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</si>
  <si>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</si>
  <si>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</si>
  <si>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</si>
  <si>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</si>
  <si>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</si>
  <si>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</si>
  <si>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</si>
  <si>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</si>
  <si>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</si>
  <si>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</si>
  <si>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</si>
  <si>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</si>
  <si>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</si>
  <si>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</si>
  <si>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</si>
  <si>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</si>
  <si>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</si>
  <si>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</si>
  <si>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</si>
  <si>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</si>
  <si>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</si>
  <si>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</si>
  <si>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</si>
  <si>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</si>
  <si>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</si>
  <si>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</si>
  <si>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</si>
  <si>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</si>
  <si>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</si>
  <si>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</si>
  <si>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</si>
  <si>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</si>
  <si>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</si>
  <si>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</si>
  <si>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</si>
  <si>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</si>
  <si>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</si>
  <si>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</si>
  <si>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</si>
  <si>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</si>
  <si>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</si>
  <si>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</si>
  <si>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</si>
  <si>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</si>
  <si>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</si>
  <si>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</si>
  <si>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</si>
  <si>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</si>
  <si>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</si>
  <si>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</si>
  <si>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</si>
  <si>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</si>
  <si>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</si>
  <si>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</si>
  <si>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</si>
  <si>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</si>
  <si>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</si>
  <si>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</si>
  <si>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</si>
  <si>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</si>
  <si>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</si>
  <si>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</si>
  <si>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</si>
  <si>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</si>
  <si>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</si>
  <si>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</si>
  <si>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</si>
  <si>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</si>
  <si>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</si>
  <si>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</si>
  <si>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</si>
  <si>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</si>
  <si>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</si>
  <si>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</si>
  <si>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</si>
  <si>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</si>
  <si>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</si>
  <si>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</si>
  <si>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</si>
  <si>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</si>
  <si>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</si>
  <si>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</si>
  <si>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</si>
  <si>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</si>
  <si>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</si>
  <si>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</si>
  <si>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</si>
  <si>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</si>
  <si>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</si>
  <si>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</si>
  <si>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</si>
  <si>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</si>
  <si>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</si>
  <si>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</si>
  <si>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</si>
  <si>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</si>
  <si>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</si>
  <si>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</si>
  <si>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</si>
  <si>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</si>
  <si>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</si>
  <si>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</si>
  <si>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</si>
  <si>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</si>
  <si>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</si>
  <si>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</si>
  <si>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</si>
  <si>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</si>
  <si>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</si>
  <si>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</si>
  <si>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</si>
  <si>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</si>
  <si>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</si>
  <si>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</si>
  <si>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</si>
  <si>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</si>
  <si>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</si>
  <si>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</si>
  <si>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</si>
  <si>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</si>
  <si>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</si>
  <si>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</si>
  <si>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</si>
  <si>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</si>
  <si>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</si>
  <si>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</si>
  <si>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</si>
  <si>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</si>
  <si>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</si>
  <si>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</si>
  <si>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</si>
  <si>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</si>
  <si>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</si>
  <si>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</si>
  <si>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</si>
  <si>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</si>
  <si>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</si>
  <si>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</si>
  <si>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</si>
  <si>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</si>
  <si>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</si>
  <si>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</si>
  <si>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</si>
  <si>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</si>
  <si>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</si>
  <si>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</si>
  <si>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</si>
  <si>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</si>
  <si>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</si>
  <si>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</si>
  <si>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</si>
  <si>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</si>
  <si>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</si>
  <si>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</si>
  <si>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</si>
  <si>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</si>
  <si>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</si>
  <si>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</si>
  <si>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</si>
  <si>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</si>
  <si>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</si>
  <si>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</si>
  <si>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</si>
  <si>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</si>
  <si>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</si>
  <si>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</si>
  <si>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</si>
  <si>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</si>
  <si>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</si>
  <si>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</si>
  <si>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</si>
  <si>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</si>
  <si>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</si>
  <si>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</si>
  <si>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</si>
  <si>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</si>
  <si>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</si>
  <si>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</si>
  <si>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</si>
  <si>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</si>
  <si>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</si>
  <si>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</si>
  <si>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</si>
  <si>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</si>
  <si>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</si>
  <si>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</si>
  <si>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</si>
  <si>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</si>
  <si>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</si>
  <si>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</si>
  <si>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</si>
  <si>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</si>
  <si>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</si>
  <si>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</si>
  <si>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</si>
  <si>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</si>
  <si>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</si>
  <si>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</si>
  <si>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</si>
  <si>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</si>
  <si>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</si>
  <si>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</si>
  <si>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</si>
  <si>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</si>
  <si>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</si>
  <si>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</si>
  <si>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</si>
  <si>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</si>
  <si>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</si>
  <si>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</si>
  <si>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</si>
  <si>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</si>
  <si>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</si>
  <si>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</si>
  <si>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</si>
  <si>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</si>
  <si>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</si>
  <si>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</si>
  <si>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</si>
  <si>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</si>
  <si>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</si>
  <si>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</si>
  <si>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</si>
  <si>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</si>
  <si>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</si>
  <si>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</si>
  <si>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</si>
  <si>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</si>
  <si>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</si>
  <si>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</si>
  <si>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</si>
  <si>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</si>
  <si>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</si>
  <si>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</si>
  <si>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</si>
  <si>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</si>
  <si>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</si>
  <si>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</si>
  <si>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</si>
  <si>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</si>
  <si>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</si>
  <si>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</si>
  <si>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</si>
  <si>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</si>
  <si>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</si>
  <si>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</si>
  <si>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</si>
  <si>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</si>
  <si>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</si>
  <si>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</si>
  <si>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</si>
  <si>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</si>
  <si>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</si>
  <si>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</si>
  <si>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</si>
  <si>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</si>
  <si>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</si>
  <si>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</si>
  <si>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</si>
  <si>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</si>
  <si>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</si>
  <si>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</si>
  <si>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</si>
  <si>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</si>
  <si>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</si>
  <si>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</si>
  <si>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</si>
  <si>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</si>
  <si>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</si>
  <si>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</si>
  <si>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</si>
  <si>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</si>
  <si>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</si>
  <si>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</si>
  <si>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</si>
  <si>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</si>
  <si>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</si>
  <si>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</si>
  <si>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</si>
  <si>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</si>
  <si>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</si>
  <si>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</si>
  <si>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</si>
  <si>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</si>
  <si>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</si>
  <si>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</si>
  <si>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</si>
  <si>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</si>
  <si>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</si>
  <si>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</si>
  <si>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</si>
  <si>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</si>
  <si>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</si>
  <si>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</si>
  <si>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</si>
  <si>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</si>
  <si>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</si>
  <si>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</si>
  <si>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</si>
  <si>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</si>
  <si>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</si>
  <si>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</si>
  <si>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</si>
  <si>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</si>
  <si>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</si>
  <si>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</si>
  <si>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</si>
  <si>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</si>
  <si>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</si>
  <si>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</si>
  <si>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</si>
  <si>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</si>
  <si>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</si>
  <si>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</si>
  <si>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</si>
  <si>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</si>
  <si>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</si>
  <si>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</si>
  <si>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</si>
  <si>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</si>
  <si>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</si>
  <si>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</si>
  <si>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</si>
  <si>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</si>
  <si>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</si>
  <si>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</si>
  <si>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</si>
  <si>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</si>
  <si>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</si>
  <si>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</si>
  <si>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</si>
  <si>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</si>
  <si>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</si>
  <si>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</si>
  <si>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</si>
  <si>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</si>
  <si>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</si>
  <si>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</si>
  <si>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</si>
  <si>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</si>
  <si>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</si>
  <si>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</si>
  <si>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</si>
  <si>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</si>
  <si>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</si>
  <si>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</si>
  <si>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</si>
  <si>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</si>
  <si>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</si>
  <si>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</si>
  <si>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</si>
  <si>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</si>
  <si>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</si>
  <si>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</si>
  <si>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</si>
  <si>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</si>
  <si>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</si>
  <si>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</si>
  <si>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</si>
  <si>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</si>
  <si>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</si>
  <si>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</si>
  <si>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</si>
  <si>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</si>
  <si>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</si>
  <si>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</si>
  <si>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</si>
  <si>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</si>
  <si>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</si>
  <si>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</si>
  <si>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</si>
  <si>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</si>
  <si>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</si>
  <si>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</si>
  <si>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</si>
  <si>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</si>
  <si>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</si>
  <si>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</si>
  <si>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</si>
  <si>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</si>
  <si>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</si>
  <si>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</si>
  <si>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</si>
  <si>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</si>
  <si>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</si>
  <si>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</si>
  <si>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</si>
  <si>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</si>
  <si>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</si>
  <si>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</si>
  <si>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</si>
  <si>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</si>
  <si>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</si>
  <si>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</si>
  <si>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</si>
  <si>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</si>
  <si>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</si>
  <si>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</si>
  <si>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</si>
  <si>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</si>
  <si>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</si>
  <si>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</si>
  <si>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</si>
  <si>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</si>
  <si>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</si>
  <si>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</si>
  <si>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</si>
  <si>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</si>
  <si>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</si>
  <si>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</si>
  <si>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</si>
  <si>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</si>
  <si>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</si>
  <si>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</si>
  <si>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</si>
  <si>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</si>
  <si>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</si>
  <si>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</si>
  <si>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</si>
  <si>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</si>
  <si>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</si>
  <si>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</si>
  <si>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</si>
  <si>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</si>
  <si>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</si>
  <si>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</si>
  <si>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</si>
  <si>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</si>
  <si>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</si>
  <si>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</si>
  <si>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</si>
  <si>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</si>
  <si>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</si>
  <si>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</si>
  <si>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</si>
  <si>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</si>
  <si>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</si>
  <si>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</si>
  <si>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</si>
  <si>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</si>
  <si>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</si>
  <si>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</si>
  <si>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</si>
  <si>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</si>
  <si>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</si>
  <si>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</si>
  <si>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</si>
  <si>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</si>
  <si>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</si>
  <si>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</si>
  <si>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</si>
  <si>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</si>
  <si>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</si>
  <si>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</si>
  <si>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</si>
  <si>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</si>
  <si>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</si>
  <si>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</si>
  <si>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</si>
  <si>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</si>
  <si>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</si>
  <si>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</si>
  <si>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</si>
  <si>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</si>
  <si>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</si>
  <si>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</si>
  <si>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</si>
  <si>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</si>
  <si>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</si>
  <si>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</si>
  <si>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</si>
  <si>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</si>
  <si>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</si>
  <si>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</si>
  <si>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</si>
  <si>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</si>
  <si>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</si>
  <si>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</si>
  <si>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</si>
  <si>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</si>
  <si>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</si>
  <si>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</si>
  <si>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</si>
  <si>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</si>
  <si>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</si>
  <si>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</si>
  <si>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</si>
  <si>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</si>
  <si>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</si>
  <si>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</si>
  <si>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</si>
  <si>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</si>
  <si>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</si>
  <si>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</si>
  <si>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</si>
  <si>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</si>
  <si>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</si>
  <si>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</si>
  <si>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</si>
  <si>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</si>
  <si>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</si>
  <si>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</si>
  <si>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</si>
  <si>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</si>
  <si>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</si>
  <si>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</si>
  <si>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</si>
  <si>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</si>
  <si>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</si>
  <si>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</si>
  <si>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</si>
  <si>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</si>
  <si>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</si>
  <si>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</si>
  <si>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</si>
  <si>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</si>
  <si>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</si>
  <si>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</si>
  <si>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</si>
  <si>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</si>
  <si>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</si>
  <si>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</si>
  <si>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</si>
  <si>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</si>
  <si>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</si>
  <si>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</si>
  <si>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</si>
  <si>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</si>
  <si>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</si>
  <si>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</si>
  <si>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</si>
  <si>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</si>
  <si>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</si>
  <si>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</si>
  <si>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</si>
  <si>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</si>
  <si>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</si>
  <si>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</si>
  <si>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</si>
  <si>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</si>
  <si>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</si>
  <si>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</si>
  <si>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</si>
  <si>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</si>
  <si>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</si>
  <si>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</si>
  <si>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</si>
  <si>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</si>
  <si>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</si>
  <si>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</si>
  <si>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</si>
  <si>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</si>
  <si>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</si>
  <si>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</si>
  <si>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</si>
  <si>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</si>
  <si>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</si>
  <si>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</si>
  <si>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</si>
  <si>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</si>
  <si>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</si>
  <si>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</si>
  <si>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</si>
  <si>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</si>
  <si>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</si>
  <si>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</si>
  <si>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</si>
  <si>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</si>
  <si>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</si>
  <si>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</si>
  <si>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</si>
  <si>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</si>
  <si>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</si>
  <si>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</si>
  <si>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</si>
  <si>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</si>
  <si>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</si>
  <si>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</si>
  <si>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</si>
  <si>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</si>
  <si>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</si>
  <si>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</si>
  <si>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</si>
  <si>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</si>
  <si>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</si>
  <si>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</si>
  <si>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</si>
  <si>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</si>
  <si>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</si>
  <si>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</si>
  <si>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</si>
  <si>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</si>
  <si>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</si>
  <si>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</si>
  <si>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</si>
  <si>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</si>
  <si>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</si>
  <si>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</si>
  <si>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</si>
  <si>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</si>
  <si>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</si>
  <si>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</si>
  <si>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</si>
  <si>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</si>
  <si>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</si>
  <si>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</si>
  <si>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</si>
  <si>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</si>
  <si>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</si>
  <si>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</si>
  <si>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</si>
  <si>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</si>
  <si>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</si>
  <si>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</si>
  <si>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</si>
  <si>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</si>
  <si>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</si>
  <si>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</si>
  <si>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</si>
  <si>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</si>
  <si>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</si>
  <si>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</si>
  <si>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</si>
  <si>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</si>
  <si>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</si>
  <si>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</si>
  <si>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</si>
  <si>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</si>
  <si>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</si>
  <si>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</si>
  <si>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</si>
  <si>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</si>
  <si>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</si>
  <si>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</si>
  <si>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</si>
  <si>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</si>
  <si>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</si>
  <si>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</si>
  <si>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</si>
  <si>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</si>
  <si>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</si>
  <si>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</si>
  <si>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</si>
  <si>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</si>
  <si>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</si>
  <si>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</si>
  <si>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</si>
  <si>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</si>
  <si>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</si>
  <si>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</si>
  <si>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</si>
  <si>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</si>
  <si>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</si>
  <si>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</si>
  <si>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</si>
  <si>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</si>
  <si>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</si>
  <si>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</si>
  <si>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</si>
  <si>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</si>
  <si>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</si>
  <si>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</si>
  <si>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</si>
  <si>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</si>
  <si>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</si>
  <si>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</si>
  <si>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</si>
  <si>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</si>
  <si>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</si>
  <si>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</si>
  <si>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</si>
  <si>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</si>
  <si>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</si>
  <si>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</si>
  <si>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</si>
  <si>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</si>
  <si>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</si>
  <si>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</si>
  <si>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</si>
  <si>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</si>
  <si>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</si>
  <si>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</si>
  <si>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</si>
  <si>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</si>
  <si>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</si>
  <si>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</si>
  <si>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</si>
  <si>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</si>
  <si>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</si>
  <si>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</si>
  <si>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</si>
  <si>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</si>
  <si>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</si>
  <si>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</si>
  <si>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</si>
  <si>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</si>
  <si>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</si>
  <si>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</si>
  <si>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</si>
  <si>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</si>
  <si>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</si>
  <si>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</si>
  <si>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</si>
  <si>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</si>
  <si>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</si>
  <si>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</si>
  <si>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</si>
  <si>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</si>
  <si>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</si>
  <si>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</si>
  <si>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</si>
  <si>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</si>
  <si>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</si>
  <si>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</si>
  <si>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</si>
  <si>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</si>
  <si>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</si>
  <si>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</si>
  <si>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</si>
  <si>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</si>
  <si>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</si>
  <si>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</si>
  <si>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</si>
  <si>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</si>
  <si>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</si>
  <si>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</si>
  <si>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</si>
  <si>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</si>
  <si>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</si>
  <si>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</si>
  <si>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</si>
  <si>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</si>
  <si>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</si>
  <si>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</si>
  <si>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</si>
  <si>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</si>
  <si>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</si>
  <si>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</si>
  <si>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</si>
  <si>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</si>
  <si>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</si>
  <si>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</si>
  <si>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</si>
  <si>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</si>
  <si>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</si>
  <si>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</si>
  <si>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</si>
  <si>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</si>
  <si>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</si>
  <si>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</si>
  <si>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</si>
  <si>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</si>
  <si>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</si>
  <si>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</si>
  <si>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</si>
  <si>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</si>
  <si>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</si>
  <si>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</si>
  <si>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</si>
  <si>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</si>
  <si>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</si>
  <si>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</si>
  <si>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</si>
  <si>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</si>
  <si>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</si>
  <si>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</si>
  <si>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</si>
  <si>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</si>
  <si>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</si>
  <si>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</si>
  <si>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</si>
  <si>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</si>
  <si>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</si>
  <si>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</si>
  <si>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</si>
  <si>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</si>
  <si>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</si>
  <si>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</si>
  <si>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</si>
  <si>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</si>
  <si>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</si>
  <si>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</si>
  <si>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</si>
  <si>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</si>
  <si>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</si>
  <si>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</si>
  <si>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</si>
  <si>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</si>
  <si>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</si>
  <si>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</si>
  <si>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</si>
  <si>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</si>
  <si>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</si>
  <si>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</si>
  <si>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</si>
  <si>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</si>
  <si>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</si>
  <si>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</si>
  <si>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</si>
  <si>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</si>
  <si>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</si>
  <si>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</si>
  <si>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</si>
  <si>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</si>
  <si>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</si>
  <si>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</si>
  <si>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</si>
  <si>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</si>
  <si>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</si>
  <si>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</si>
  <si>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</si>
  <si>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</si>
  <si>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</si>
  <si>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</si>
  <si>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</si>
  <si>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</si>
  <si>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</si>
  <si>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</si>
  <si>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</si>
  <si>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</si>
  <si>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</si>
  <si>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</si>
  <si>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</si>
  <si>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</si>
  <si>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</si>
  <si>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</si>
  <si>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</si>
  <si>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</si>
  <si>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</si>
  <si>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</si>
  <si>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</si>
  <si>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</si>
  <si>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</si>
  <si>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</si>
  <si>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</si>
  <si>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</si>
  <si>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</si>
  <si>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</si>
  <si>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</si>
  <si>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</si>
  <si>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</si>
  <si>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</si>
  <si>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</si>
  <si>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</si>
  <si>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</si>
  <si>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</si>
  <si>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</si>
  <si>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</si>
  <si>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</si>
  <si>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</si>
  <si>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</si>
  <si>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</si>
  <si>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</si>
  <si>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</si>
  <si>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</si>
  <si>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</si>
  <si>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</si>
  <si>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</si>
  <si>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</si>
  <si>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</si>
  <si>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</si>
  <si>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</si>
  <si>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</si>
  <si>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</si>
  <si>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</si>
  <si>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</si>
  <si>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</si>
  <si>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</si>
  <si>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</si>
  <si>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</si>
  <si>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</si>
  <si>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</si>
  <si>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</si>
  <si>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</si>
  <si>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</si>
  <si>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</si>
  <si>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</si>
  <si>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</si>
  <si>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</si>
  <si>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</si>
  <si>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</si>
  <si>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</si>
  <si>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</si>
  <si>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</si>
  <si>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</si>
  <si>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</si>
  <si>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</si>
  <si>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</si>
  <si>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</si>
  <si>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</si>
  <si>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</si>
  <si>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</si>
  <si>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</si>
  <si>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</si>
  <si>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</si>
  <si>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</si>
  <si>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</si>
  <si>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</si>
  <si>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</si>
  <si>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</si>
  <si>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</si>
  <si>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</si>
  <si>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</si>
  <si>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</si>
  <si>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</si>
  <si>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</si>
  <si>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</si>
  <si>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</si>
  <si>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</si>
  <si>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</si>
  <si>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</si>
  <si>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</si>
  <si>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</si>
  <si>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</si>
  <si>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</si>
  <si>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</si>
  <si>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</si>
  <si>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</si>
  <si>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</si>
  <si>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</si>
  <si>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</si>
  <si>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</si>
  <si>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</si>
  <si>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</si>
  <si>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</si>
  <si>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</si>
  <si>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</si>
  <si>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</si>
  <si>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</si>
  <si>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</si>
  <si>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</si>
  <si>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</si>
  <si>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</si>
  <si>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</si>
  <si>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</si>
  <si>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</si>
  <si>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</si>
  <si>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</si>
  <si>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</si>
  <si>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</si>
  <si>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</si>
  <si>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</si>
  <si>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</si>
  <si>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</si>
  <si>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</si>
  <si>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</si>
  <si>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</si>
  <si>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</si>
  <si>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</si>
  <si>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</si>
  <si>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</si>
  <si>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</si>
  <si>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</si>
  <si>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</si>
  <si>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</si>
  <si>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</si>
  <si>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</si>
  <si>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</si>
  <si>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</si>
  <si>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</si>
  <si>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</si>
  <si>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</si>
  <si>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</si>
  <si>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</si>
  <si>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</si>
  <si>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</si>
  <si>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</si>
  <si>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</si>
  <si>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</si>
  <si>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</si>
  <si>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</si>
  <si>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</si>
  <si>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</si>
  <si>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</si>
  <si>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</si>
  <si>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</si>
  <si>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</si>
  <si>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</si>
  <si>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</si>
  <si>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</si>
  <si>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</si>
  <si>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</si>
  <si>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</si>
  <si>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</si>
  <si>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</si>
  <si>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</si>
  <si>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</si>
  <si>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</si>
  <si>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</si>
  <si>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</si>
  <si>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</si>
  <si>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</si>
  <si>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</si>
  <si>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</si>
  <si>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</si>
  <si>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</si>
  <si>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</si>
  <si>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</si>
  <si>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</si>
  <si>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</si>
  <si>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</si>
  <si>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</si>
  <si>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</si>
  <si>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</si>
  <si>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</si>
  <si>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</si>
  <si>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</si>
  <si>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</si>
  <si>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</si>
  <si>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</si>
  <si>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</si>
  <si>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</si>
  <si>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</si>
  <si>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</si>
  <si>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</si>
  <si>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</si>
  <si>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</si>
  <si>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</si>
  <si>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</si>
  <si>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</si>
  <si>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</si>
  <si>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</si>
  <si>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</si>
  <si>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</si>
  <si>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</si>
  <si>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</si>
  <si>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</si>
  <si>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</si>
  <si>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</si>
  <si>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</si>
  <si>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</si>
  <si>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</si>
  <si>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</si>
  <si>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</si>
  <si>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</si>
  <si>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</si>
  <si>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</si>
  <si>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</si>
  <si>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</si>
  <si>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</si>
  <si>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</si>
  <si>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</si>
  <si>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</si>
  <si>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</si>
  <si>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</si>
  <si>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</si>
  <si>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</si>
  <si>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</si>
  <si>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</si>
  <si>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</si>
  <si>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</si>
  <si>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</si>
  <si>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</si>
  <si>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</si>
  <si>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</si>
  <si>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</si>
  <si>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</si>
  <si>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</si>
  <si>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</si>
  <si>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</si>
  <si>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</si>
  <si>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</si>
  <si>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</si>
  <si>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</si>
  <si>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</si>
  <si>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</si>
  <si>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</si>
  <si>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</si>
  <si>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</si>
  <si>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</si>
  <si>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</si>
  <si>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</si>
  <si>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</si>
  <si>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</si>
  <si>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</si>
  <si>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</si>
  <si>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</si>
  <si>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</si>
  <si>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</si>
  <si>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</si>
  <si>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</si>
  <si>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</si>
  <si>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</si>
  <si>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</si>
  <si>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</si>
  <si>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</si>
  <si>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</si>
  <si>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</si>
  <si>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</si>
  <si>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</si>
  <si>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</si>
  <si>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</si>
  <si>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</si>
  <si>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</si>
  <si>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</si>
  <si>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</si>
  <si>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</si>
  <si>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</si>
  <si>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</si>
  <si>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</si>
  <si>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</si>
  <si>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</si>
  <si>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</si>
  <si>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</si>
  <si>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</si>
  <si>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</si>
  <si>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</si>
  <si>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</si>
  <si>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</si>
  <si>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</si>
  <si>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</si>
  <si>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</si>
  <si>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</si>
  <si>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</si>
  <si>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</si>
  <si>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</si>
  <si>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</si>
  <si>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</si>
  <si>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</si>
  <si>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</si>
  <si>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</si>
  <si>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</si>
  <si>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</si>
  <si>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</si>
  <si>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</si>
  <si>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</si>
  <si>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</si>
  <si>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</si>
  <si>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</si>
  <si>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</si>
  <si>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</si>
  <si>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</si>
  <si>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</si>
  <si>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</si>
  <si>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</si>
  <si>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</si>
  <si>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</si>
  <si>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</si>
  <si>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</si>
  <si>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</si>
  <si>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</si>
  <si>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</si>
  <si>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</si>
  <si>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</si>
  <si>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</si>
  <si>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</si>
  <si>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</si>
  <si>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</si>
  <si>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</si>
  <si>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</si>
  <si>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</si>
  <si>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</si>
  <si>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</si>
  <si>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</si>
  <si>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</si>
  <si>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</si>
  <si>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</si>
  <si>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</si>
  <si>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</si>
  <si>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</si>
  <si>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</si>
  <si>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</si>
  <si>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</si>
  <si>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</si>
  <si>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</si>
  <si>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</si>
  <si>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</si>
  <si>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</si>
  <si>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</si>
  <si>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</si>
  <si>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</si>
  <si>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</si>
  <si>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</si>
  <si>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</si>
  <si>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</si>
  <si>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</si>
  <si>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</si>
  <si>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</si>
  <si>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</si>
  <si>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</si>
  <si>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</si>
  <si>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</si>
  <si>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</si>
  <si>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</si>
  <si>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</si>
  <si>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</si>
  <si>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</si>
  <si>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</si>
  <si>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</si>
  <si>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</si>
  <si>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</si>
  <si>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</si>
  <si>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</si>
  <si>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</si>
  <si>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</si>
  <si>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</si>
  <si>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</si>
  <si>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</si>
  <si>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</si>
  <si>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</si>
  <si>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</si>
  <si>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</si>
  <si>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</si>
  <si>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</si>
  <si>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</si>
  <si>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</si>
  <si>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</si>
  <si>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</si>
  <si>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</si>
  <si>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</si>
  <si>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</si>
  <si>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</si>
  <si>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</si>
  <si>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</si>
  <si>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</si>
  <si>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</si>
  <si>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</si>
  <si>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</si>
  <si>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</si>
  <si>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</si>
  <si>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</si>
  <si>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</si>
  <si>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</si>
  <si>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</si>
  <si>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</si>
  <si>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</si>
  <si>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</si>
  <si>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</si>
  <si>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</si>
  <si>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</si>
  <si>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</si>
  <si>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</si>
  <si>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</si>
  <si>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</si>
  <si>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</si>
  <si>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</si>
  <si>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</si>
  <si>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</si>
  <si>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</si>
  <si>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</si>
  <si>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</si>
  <si>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</si>
  <si>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</si>
  <si>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</si>
  <si>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</si>
  <si>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</si>
  <si>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</si>
  <si>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</si>
  <si>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</si>
  <si>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</si>
  <si>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</si>
  <si>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</si>
  <si>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</si>
  <si>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</si>
  <si>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</si>
  <si>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</si>
  <si>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</si>
  <si>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</si>
  <si>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</si>
  <si>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</si>
  <si>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</si>
  <si>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</si>
  <si>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</si>
  <si>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</si>
  <si>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</si>
  <si>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</si>
  <si>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</si>
  <si>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</si>
  <si>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</si>
  <si>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</si>
  <si>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</si>
  <si>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</si>
  <si>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</si>
  <si>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</si>
  <si>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</si>
  <si>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</si>
  <si>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</si>
  <si>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</si>
  <si>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</si>
  <si>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</si>
  <si>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</si>
  <si>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</si>
  <si>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</si>
  <si>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</si>
  <si>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</si>
  <si>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</si>
  <si>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</si>
  <si>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</si>
  <si>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</si>
  <si>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</si>
  <si>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</si>
  <si>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</si>
  <si>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</si>
  <si>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</si>
  <si>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</si>
  <si>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</si>
  <si>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</si>
  <si>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</si>
  <si>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</si>
  <si>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</si>
  <si>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</si>
  <si>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</si>
  <si>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</si>
  <si>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</si>
  <si>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</si>
  <si>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</si>
  <si>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</si>
  <si>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</si>
  <si>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</si>
  <si>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</si>
  <si>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</si>
  <si>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</si>
  <si>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</si>
  <si>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</si>
  <si>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</si>
  <si>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</si>
  <si>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</si>
  <si>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</si>
  <si>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</si>
  <si>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</si>
  <si>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</si>
  <si>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</si>
  <si>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</si>
  <si>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</si>
  <si>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</si>
  <si>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</si>
  <si>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</si>
  <si>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</si>
  <si>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</si>
  <si>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</si>
  <si>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</si>
  <si>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</si>
  <si>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</si>
  <si>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</si>
  <si>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</si>
  <si>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</si>
  <si>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</si>
  <si>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</si>
  <si>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</si>
  <si>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</si>
  <si>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</si>
  <si>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</si>
  <si>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</si>
  <si>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</si>
  <si>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</si>
  <si>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</si>
  <si>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</si>
  <si>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</si>
  <si>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</si>
  <si>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</si>
  <si>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</si>
  <si>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</si>
  <si>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</si>
  <si>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</si>
  <si>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</si>
  <si>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</si>
  <si>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</si>
  <si>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</si>
  <si>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</si>
  <si>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</si>
  <si>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</si>
  <si>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</si>
  <si>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</si>
  <si>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</si>
  <si>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</si>
  <si>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</si>
  <si>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</si>
  <si>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</si>
  <si>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</si>
  <si>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</si>
  <si>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</si>
  <si>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</si>
  <si>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</si>
  <si>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</si>
  <si>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</si>
  <si>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</si>
  <si>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</si>
  <si>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</si>
  <si>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</si>
  <si>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</si>
  <si>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</si>
  <si>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</si>
  <si>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</si>
  <si>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</si>
  <si>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</si>
  <si>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</si>
  <si>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</si>
  <si>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</si>
  <si>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</si>
  <si>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</si>
  <si>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</si>
  <si>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</si>
  <si>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</si>
  <si>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</si>
  <si>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</si>
  <si>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</si>
  <si>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</si>
  <si>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</si>
  <si>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</si>
  <si>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</si>
  <si>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</si>
  <si>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</si>
  <si>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</si>
  <si>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</si>
  <si>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</si>
  <si>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</si>
  <si>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</si>
  <si>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</si>
  <si>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</si>
  <si>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</si>
  <si>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</si>
  <si>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</si>
  <si>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</si>
  <si>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</si>
  <si>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</si>
  <si>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</si>
  <si>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</si>
  <si>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</si>
  <si>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</si>
  <si>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</si>
  <si>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</si>
  <si>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</si>
  <si>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</si>
  <si>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</si>
  <si>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</si>
  <si>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</si>
  <si>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</si>
  <si>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</si>
  <si>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</si>
  <si>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</si>
  <si>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</si>
  <si>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</si>
  <si>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</si>
  <si>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</si>
  <si>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</si>
  <si>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</si>
  <si>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</si>
  <si>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</si>
  <si>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</si>
  <si>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</si>
  <si>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</si>
  <si>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</si>
  <si>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</si>
  <si>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</si>
  <si>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</si>
  <si>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</si>
  <si>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</si>
  <si>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</si>
  <si>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</si>
  <si>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</si>
  <si>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</si>
  <si>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</si>
  <si>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</si>
  <si>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</si>
  <si>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</si>
  <si>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</si>
  <si>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</si>
  <si>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</si>
  <si>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</si>
  <si>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</si>
  <si>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</si>
  <si>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</si>
  <si>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</si>
  <si>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</si>
  <si>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</si>
  <si>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</si>
  <si>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</si>
  <si>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</si>
  <si>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</si>
  <si>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</si>
  <si>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</si>
  <si>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</si>
  <si>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</si>
  <si>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</si>
  <si>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</si>
  <si>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</si>
  <si>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</si>
  <si>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</si>
  <si>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</si>
  <si>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</si>
  <si>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</si>
  <si>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</si>
  <si>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</si>
  <si>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</si>
  <si>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</si>
  <si>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</si>
  <si>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</si>
  <si>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</si>
  <si>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</si>
  <si>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</si>
  <si>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</si>
  <si>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</si>
  <si>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</si>
  <si>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</si>
  <si>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</si>
  <si>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</si>
  <si>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</si>
  <si>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</si>
  <si>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</si>
  <si>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</si>
  <si>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</si>
  <si>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</si>
  <si>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</si>
  <si>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</si>
  <si>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</si>
  <si>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</si>
  <si>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</si>
  <si>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</si>
  <si>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</si>
  <si>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</si>
  <si>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</si>
  <si>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</si>
  <si>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</si>
  <si>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</si>
  <si>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</si>
  <si>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</si>
  <si>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</si>
  <si>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</si>
  <si>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</si>
  <si>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</si>
  <si>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</si>
  <si>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</si>
  <si>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</si>
  <si>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</si>
  <si>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</si>
  <si>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</si>
  <si>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</si>
  <si>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</si>
  <si>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</si>
  <si>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</si>
  <si>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</si>
  <si>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</si>
  <si>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</si>
  <si>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</si>
  <si>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</si>
  <si>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</si>
  <si>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</si>
  <si>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</si>
  <si>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</si>
  <si>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</si>
  <si>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</si>
  <si>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</si>
  <si>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</si>
  <si>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</si>
  <si>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</si>
  <si>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</si>
  <si>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</si>
  <si>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</si>
  <si>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</si>
  <si>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</si>
  <si>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</si>
  <si>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</si>
  <si>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</si>
  <si>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</si>
  <si>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</si>
  <si>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</si>
  <si>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</si>
  <si>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</si>
  <si>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</si>
  <si>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</si>
  <si>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</si>
  <si>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</si>
  <si>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</si>
  <si>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</si>
  <si>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</si>
  <si>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</si>
  <si>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</si>
  <si>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</si>
  <si>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</si>
  <si>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</si>
  <si>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</si>
  <si>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</si>
  <si>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</si>
  <si>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</si>
  <si>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</si>
  <si>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</si>
  <si>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</si>
  <si>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</si>
  <si>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</si>
  <si>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</si>
  <si>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</si>
  <si>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</si>
  <si>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</si>
  <si>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</si>
  <si>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</si>
  <si>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</si>
  <si>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</si>
  <si>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</si>
  <si>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</si>
  <si>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</si>
  <si>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</si>
  <si>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</si>
  <si>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</si>
  <si>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</si>
  <si>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</si>
  <si>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</si>
  <si>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</si>
  <si>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</si>
  <si>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</si>
  <si>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</si>
  <si>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</si>
  <si>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</si>
  <si>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</si>
  <si>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</si>
  <si>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</si>
  <si>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</si>
  <si>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</si>
  <si>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</si>
  <si>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</si>
  <si>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</si>
  <si>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</si>
  <si>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</si>
  <si>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</si>
  <si>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</si>
  <si>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</si>
  <si>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</si>
  <si>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</si>
  <si>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</si>
  <si>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</si>
  <si>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</si>
  <si>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</si>
  <si>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</si>
  <si>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</si>
  <si>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</si>
  <si>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</si>
  <si>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</si>
  <si>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</si>
  <si>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</si>
  <si>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</si>
  <si>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</si>
  <si>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</si>
  <si>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</si>
  <si>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</si>
  <si>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</si>
  <si>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</si>
  <si>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</si>
  <si>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</si>
  <si>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</si>
  <si>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</si>
  <si>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</si>
  <si>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</si>
  <si>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</si>
  <si>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</si>
  <si>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</si>
  <si>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</si>
  <si>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</si>
  <si>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</si>
  <si>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</si>
  <si>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</si>
  <si>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</si>
  <si>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</si>
  <si>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</si>
  <si>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</si>
  <si>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</si>
  <si>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</si>
  <si>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</si>
  <si>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</si>
  <si>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</si>
  <si>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</si>
  <si>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</si>
  <si>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</si>
  <si>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</si>
  <si>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</si>
  <si>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</si>
  <si>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</si>
  <si>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</si>
  <si>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</si>
  <si>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</si>
  <si>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</si>
  <si>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</si>
  <si>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</si>
  <si>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</si>
  <si>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</si>
  <si>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</si>
  <si>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</si>
  <si>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</si>
  <si>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</si>
  <si>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</si>
  <si>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</si>
  <si>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</si>
  <si>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</si>
  <si>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</si>
  <si>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</si>
  <si>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</si>
  <si>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</si>
  <si>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</si>
  <si>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</si>
  <si>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</si>
  <si>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</si>
  <si>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</si>
  <si>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</si>
  <si>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</si>
  <si>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</si>
  <si>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</si>
  <si>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</si>
  <si>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</si>
  <si>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</si>
  <si>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</si>
  <si>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</si>
  <si>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</si>
  <si>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</si>
  <si>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</si>
  <si>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</si>
  <si>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</si>
  <si>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</si>
  <si>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</si>
  <si>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</si>
  <si>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</si>
  <si>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</si>
  <si>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</si>
  <si>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</si>
  <si>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</si>
  <si>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</si>
  <si>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</si>
  <si>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</si>
  <si>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</si>
  <si>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</si>
  <si>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</si>
  <si>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</si>
  <si>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</si>
  <si>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</si>
  <si>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</si>
  <si>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</si>
  <si>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</si>
  <si>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</si>
  <si>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</si>
  <si>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</si>
  <si>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</si>
  <si>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</si>
  <si>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</si>
  <si>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</si>
  <si>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</si>
  <si>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</si>
  <si>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</si>
  <si>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</si>
  <si>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</si>
  <si>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</si>
  <si>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</si>
  <si>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</si>
  <si>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</si>
  <si>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</si>
  <si>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</si>
  <si>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</si>
  <si>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</si>
  <si>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</si>
  <si>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</si>
  <si>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</si>
  <si>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</si>
  <si>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</si>
  <si>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</si>
  <si>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</si>
  <si>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</si>
  <si>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</si>
  <si>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</si>
  <si>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</si>
  <si>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</si>
  <si>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</si>
  <si>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</si>
  <si>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</si>
  <si>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</si>
  <si>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</si>
  <si>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</si>
  <si>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</si>
  <si>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</si>
  <si>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</si>
  <si>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</si>
  <si>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</si>
  <si>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</si>
  <si>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</si>
  <si>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</si>
  <si>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</si>
  <si>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</si>
  <si>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</si>
  <si>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</si>
  <si>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</si>
  <si>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</si>
  <si>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</si>
  <si>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</si>
  <si>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</si>
  <si>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</si>
  <si>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</si>
  <si>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</si>
  <si>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</si>
  <si>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</si>
  <si>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</si>
  <si>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</si>
  <si>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</si>
  <si>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</si>
  <si>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</si>
  <si>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</si>
  <si>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</si>
  <si>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</si>
  <si>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</si>
  <si>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</si>
  <si>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</si>
  <si>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</si>
  <si>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</si>
  <si>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</si>
  <si>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</si>
  <si>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</si>
  <si>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</si>
  <si>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</si>
  <si>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</si>
  <si>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</si>
  <si>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</si>
  <si>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</si>
  <si>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</si>
  <si>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</si>
  <si>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</si>
  <si>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</si>
  <si>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</si>
  <si>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</si>
  <si>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</si>
  <si>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</si>
  <si>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</si>
  <si>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</si>
  <si>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</si>
  <si>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</si>
  <si>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</si>
  <si>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</si>
  <si>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</si>
  <si>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</si>
  <si>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</si>
  <si>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</si>
  <si>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</si>
  <si>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</si>
  <si>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</si>
  <si>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</si>
  <si>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</si>
  <si>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</si>
  <si>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</si>
  <si>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</si>
  <si>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</si>
  <si>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</si>
  <si>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</si>
  <si>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</si>
  <si>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</si>
  <si>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</si>
  <si>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</si>
  <si>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</si>
  <si>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</si>
  <si>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</si>
  <si>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</si>
  <si>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</si>
  <si>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</si>
  <si>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</si>
  <si>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</si>
  <si>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</si>
  <si>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</si>
  <si>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</si>
  <si>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</si>
  <si>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</si>
  <si>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</si>
  <si>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</si>
  <si>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</si>
  <si>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</si>
  <si>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</si>
  <si>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</si>
  <si>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</si>
  <si>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</si>
  <si>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</si>
  <si>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</si>
  <si>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</si>
  <si>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</si>
  <si>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</si>
  <si>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</si>
  <si>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</si>
  <si>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</si>
  <si>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</si>
  <si>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</si>
  <si>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</si>
  <si>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</si>
  <si>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</si>
  <si>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</si>
  <si>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</si>
  <si>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</si>
  <si>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</si>
  <si>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</si>
  <si>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</si>
  <si>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</si>
  <si>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</si>
  <si>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</si>
  <si>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</si>
  <si>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</si>
  <si>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</si>
  <si>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</si>
  <si>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</si>
  <si>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</si>
  <si>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</si>
  <si>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</si>
  <si>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</si>
  <si>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</si>
  <si>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</si>
  <si>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</si>
  <si>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</si>
  <si>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</si>
  <si>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</si>
  <si>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</si>
  <si>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</si>
  <si>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</si>
  <si>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</si>
  <si>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</si>
  <si>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</si>
  <si>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</si>
  <si>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</si>
  <si>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</si>
  <si>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</si>
  <si>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</si>
  <si>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</si>
  <si>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</si>
  <si>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</si>
  <si>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</si>
  <si>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</si>
  <si>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</si>
  <si>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</si>
  <si>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</si>
  <si>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</si>
  <si>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</si>
  <si>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</si>
  <si>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</si>
  <si>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</si>
  <si>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</si>
  <si>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</si>
  <si>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</si>
  <si>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</si>
  <si>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</si>
  <si>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</si>
  <si>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</si>
  <si>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</si>
  <si>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</si>
  <si>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</si>
  <si>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</si>
  <si>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</si>
  <si>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</si>
  <si>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</si>
  <si>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</si>
  <si>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</si>
  <si>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</si>
  <si>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</si>
  <si>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</si>
  <si>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</si>
  <si>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</si>
  <si>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</si>
  <si>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</si>
  <si>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</si>
  <si>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</si>
  <si>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</si>
  <si>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</si>
  <si>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</si>
  <si>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</si>
  <si>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</si>
  <si>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</si>
  <si>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</si>
  <si>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</si>
  <si>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</si>
  <si>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</si>
  <si>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</si>
  <si>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</si>
  <si>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</si>
  <si>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</si>
  <si>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</si>
  <si>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</si>
  <si>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</si>
  <si>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</si>
  <si>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</si>
  <si>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</si>
  <si>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</si>
  <si>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</si>
  <si>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</si>
  <si>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</si>
  <si>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</si>
  <si>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</si>
  <si>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</si>
  <si>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</si>
  <si>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</si>
  <si>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</si>
  <si>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</si>
  <si>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</si>
  <si>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</si>
  <si>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</si>
  <si>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</si>
  <si>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</si>
  <si>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</si>
  <si>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</si>
  <si>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</si>
  <si>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</si>
  <si>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</si>
  <si>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</si>
  <si>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</si>
  <si>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</si>
  <si>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</si>
  <si>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</si>
  <si>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</si>
  <si>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</si>
  <si>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</si>
  <si>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</si>
  <si>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</si>
  <si>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</si>
  <si>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</si>
  <si>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</si>
  <si>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</si>
  <si>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</si>
  <si>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</si>
  <si>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</si>
  <si>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</si>
  <si>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</si>
  <si>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</si>
  <si>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</si>
  <si>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</si>
  <si>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</si>
  <si>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</si>
  <si>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</si>
  <si>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</si>
  <si>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</si>
  <si>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</si>
  <si>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</si>
  <si>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</si>
  <si>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</si>
  <si>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</si>
  <si>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</si>
  <si>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</si>
  <si>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</si>
  <si>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</si>
  <si>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</si>
  <si>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</si>
  <si>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</si>
  <si>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</si>
  <si>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</si>
  <si>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</si>
  <si>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</si>
  <si>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</si>
  <si>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</si>
  <si>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</si>
  <si>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</si>
  <si>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</si>
  <si>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</si>
  <si>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</si>
  <si>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</si>
  <si>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</si>
  <si>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</si>
  <si>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</si>
  <si>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</si>
  <si>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</si>
  <si>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</si>
  <si>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</si>
  <si>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</si>
  <si>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</si>
  <si>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</si>
  <si>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</si>
  <si>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</si>
  <si>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</si>
  <si>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</si>
  <si>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</si>
  <si>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</si>
  <si>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</si>
  <si>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</si>
  <si>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</si>
  <si>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</si>
  <si>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</si>
  <si>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</si>
  <si>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</si>
  <si>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</si>
  <si>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</si>
  <si>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</si>
  <si>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</si>
  <si>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</si>
  <si>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</si>
  <si>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</si>
  <si>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</si>
  <si>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</si>
  <si>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</si>
  <si>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</si>
  <si>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</si>
  <si>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</si>
  <si>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</si>
  <si>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</si>
  <si>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</si>
  <si>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</si>
  <si>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</si>
  <si>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</si>
  <si>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</si>
  <si>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</si>
  <si>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</si>
  <si>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</si>
  <si>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</si>
  <si>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</si>
  <si>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</si>
  <si>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</si>
  <si>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</si>
  <si>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</si>
  <si>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</si>
  <si>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</si>
  <si>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</si>
  <si>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</si>
  <si>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</si>
  <si>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</si>
  <si>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</si>
  <si>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</si>
  <si>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</si>
  <si>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</si>
  <si>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</si>
  <si>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</si>
  <si>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</si>
  <si>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</si>
  <si>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</si>
  <si>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</si>
  <si>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</si>
  <si>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</si>
  <si>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</si>
  <si>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</si>
  <si>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</si>
  <si>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</si>
  <si>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</si>
  <si>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</si>
  <si>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</si>
  <si>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</si>
  <si>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</si>
  <si>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</si>
  <si>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</si>
  <si>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</si>
  <si>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</si>
  <si>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</si>
  <si>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</si>
  <si>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</si>
  <si>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</si>
  <si>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</si>
  <si>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</si>
  <si>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</si>
  <si>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</si>
  <si>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</si>
  <si>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</si>
  <si>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</si>
  <si>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</si>
  <si>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</si>
  <si>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</si>
  <si>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</si>
  <si>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</si>
  <si>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</si>
  <si>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</si>
  <si>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</si>
  <si>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</si>
  <si>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</si>
  <si>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</si>
  <si>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</si>
  <si>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</si>
  <si>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</si>
  <si>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</si>
  <si>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</si>
  <si>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</si>
  <si>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</si>
  <si>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</si>
  <si>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</si>
  <si>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</si>
  <si>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</si>
  <si>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</si>
  <si>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</si>
  <si>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</si>
  <si>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</si>
  <si>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</si>
  <si>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</si>
  <si>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</si>
  <si>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</si>
  <si>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</si>
  <si>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</si>
  <si>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</si>
  <si>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</si>
  <si>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</si>
  <si>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</si>
  <si>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</si>
  <si>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</si>
  <si>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</si>
  <si>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</si>
  <si>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</si>
  <si>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</si>
  <si>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</si>
  <si>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</si>
  <si>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</si>
  <si>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</si>
  <si>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</si>
  <si>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</si>
  <si>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</si>
  <si>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</si>
  <si>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</si>
  <si>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</si>
  <si>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</si>
  <si>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</si>
  <si>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</si>
  <si>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</si>
  <si>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</si>
  <si>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</si>
  <si>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</si>
  <si>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</si>
  <si>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</si>
  <si>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</si>
  <si>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</si>
  <si>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</si>
  <si>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</si>
  <si>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</si>
  <si>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</si>
  <si>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</si>
  <si>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</si>
  <si>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</si>
  <si>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</si>
  <si>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</si>
  <si>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</si>
  <si>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</si>
  <si>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</si>
  <si>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</si>
  <si>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</si>
  <si>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</si>
  <si>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</si>
  <si>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</si>
  <si>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</si>
  <si>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</si>
  <si>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</si>
  <si>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</si>
  <si>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</si>
  <si>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</si>
  <si>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</si>
  <si>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</si>
  <si>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</si>
  <si>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</si>
  <si>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</si>
  <si>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</si>
  <si>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</si>
  <si>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</si>
  <si>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</si>
  <si>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</si>
  <si>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</si>
  <si>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</si>
  <si>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</si>
  <si>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</si>
  <si>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</si>
  <si>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</si>
  <si>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</si>
  <si>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</si>
  <si>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</si>
  <si>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</si>
  <si>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</si>
  <si>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</si>
  <si>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</si>
  <si>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</si>
  <si>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</si>
  <si>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</si>
  <si>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</si>
  <si>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</si>
  <si>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</si>
  <si>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</si>
  <si>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</si>
  <si>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</si>
  <si>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</si>
  <si>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</si>
  <si>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</si>
  <si>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</si>
  <si>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</si>
  <si>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</si>
  <si>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</si>
  <si>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</si>
  <si>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</si>
  <si>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</si>
  <si>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</si>
  <si>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</si>
  <si>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</si>
  <si>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</si>
  <si>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</si>
  <si>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</si>
  <si>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</si>
  <si>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</si>
  <si>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</si>
  <si>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</si>
  <si>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</si>
  <si>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</si>
  <si>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</si>
  <si>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</si>
  <si>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</si>
  <si>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</si>
  <si>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</si>
  <si>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</si>
  <si>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</si>
  <si>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</si>
  <si>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</si>
  <si>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</si>
  <si>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</si>
  <si>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</si>
  <si>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</si>
  <si>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</si>
  <si>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</si>
  <si>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</si>
  <si>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</si>
  <si>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</si>
  <si>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</si>
  <si>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</si>
  <si>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</si>
  <si>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</si>
  <si>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</si>
  <si>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</si>
  <si>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</si>
  <si>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</si>
  <si>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</si>
  <si>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</si>
  <si>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</si>
  <si>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</si>
  <si>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</si>
  <si>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</si>
  <si>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</si>
  <si>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</si>
  <si>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</si>
  <si>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</si>
  <si>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</si>
  <si>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</si>
  <si>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</si>
  <si>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</si>
  <si>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</si>
  <si>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</si>
  <si>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</si>
  <si>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</si>
  <si>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</si>
  <si>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</si>
  <si>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</si>
  <si>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</si>
  <si>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</si>
  <si>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</si>
  <si>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</si>
  <si>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</si>
  <si>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</si>
  <si>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</si>
  <si>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</si>
  <si>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</si>
  <si>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</si>
  <si>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</si>
  <si>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</si>
  <si>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</si>
  <si>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</si>
  <si>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</si>
  <si>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</si>
  <si>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</si>
  <si>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</si>
  <si>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</si>
  <si>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</si>
  <si>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</si>
  <si>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</si>
  <si>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</si>
  <si>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</si>
  <si>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</si>
  <si>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</si>
  <si>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</si>
  <si>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</si>
  <si>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</si>
  <si>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</si>
  <si>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</si>
  <si>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</si>
  <si>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</si>
  <si>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</si>
  <si>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</si>
  <si>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</si>
  <si>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</si>
  <si>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</si>
  <si>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</si>
  <si>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</si>
  <si>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</si>
  <si>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</si>
  <si>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</si>
  <si>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</si>
  <si>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</si>
  <si>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</si>
  <si>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</si>
  <si>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</si>
  <si>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</si>
  <si>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</si>
  <si>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</si>
  <si>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</si>
  <si>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</si>
  <si>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</si>
  <si>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</si>
  <si>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</si>
  <si>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</si>
  <si>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</si>
  <si>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</si>
  <si>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</si>
  <si>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</si>
  <si>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</si>
  <si>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</si>
  <si>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</si>
  <si>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</si>
  <si>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</si>
  <si>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</si>
  <si>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</si>
  <si>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</si>
  <si>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</si>
  <si>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</si>
  <si>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</si>
  <si>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</si>
  <si>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</si>
  <si>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</si>
  <si>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</si>
  <si>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</si>
  <si>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</si>
  <si>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</si>
  <si>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</si>
  <si>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</si>
  <si>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</si>
  <si>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</si>
  <si>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</si>
  <si>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</si>
  <si>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</si>
  <si>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</si>
  <si>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</si>
  <si>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</si>
  <si>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</si>
  <si>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</si>
  <si>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</si>
  <si>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</si>
  <si>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</si>
  <si>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</si>
  <si>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</si>
  <si>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</si>
  <si>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</si>
  <si>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</si>
  <si>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</si>
  <si>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</si>
  <si>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</si>
  <si>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</si>
  <si>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</si>
  <si>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</si>
  <si>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</si>
  <si>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</si>
  <si>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</si>
  <si>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</si>
  <si>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</si>
  <si>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</si>
  <si>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</si>
  <si>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</si>
  <si>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</si>
  <si>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</si>
  <si>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</si>
  <si>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</si>
  <si>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</si>
  <si>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</si>
  <si>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</si>
  <si>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</si>
  <si>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</si>
  <si>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</si>
  <si>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</si>
  <si>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</si>
  <si>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</si>
  <si>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</si>
  <si>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</si>
  <si>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</si>
  <si>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</si>
  <si>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</si>
  <si>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</si>
  <si>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</si>
  <si>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</si>
  <si>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</si>
  <si>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</si>
  <si>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</si>
  <si>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</si>
  <si>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</si>
  <si>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</si>
  <si>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</si>
  <si>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</si>
  <si>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</si>
  <si>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</si>
  <si>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</si>
  <si>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</si>
  <si>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</si>
  <si>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</si>
  <si>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</si>
  <si>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</si>
  <si>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</si>
  <si>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</si>
  <si>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</si>
  <si>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</si>
  <si>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</si>
  <si>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</si>
  <si>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</si>
  <si>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</si>
  <si>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</si>
  <si>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</si>
  <si>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</si>
  <si>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</si>
  <si>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</si>
  <si>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</si>
  <si>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</si>
  <si>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</si>
  <si>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</si>
  <si>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</si>
  <si>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</si>
  <si>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</si>
  <si>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</si>
  <si>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</si>
  <si>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</si>
  <si>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</si>
  <si>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</si>
  <si>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</si>
  <si>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</si>
  <si>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</si>
  <si>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</si>
  <si>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</si>
  <si>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</si>
  <si>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</si>
  <si>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</si>
  <si>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</si>
  <si>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</si>
  <si>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</si>
  <si>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</si>
  <si>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</si>
  <si>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</si>
  <si>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</si>
  <si>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</si>
  <si>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</si>
  <si>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</si>
  <si>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</si>
  <si>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</si>
  <si>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</si>
  <si>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</si>
  <si>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</si>
  <si>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</si>
  <si>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</si>
  <si>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</si>
  <si>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</si>
  <si>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</si>
  <si>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</si>
  <si>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</si>
  <si>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</si>
  <si>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</si>
  <si>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</si>
  <si>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</si>
  <si>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</si>
  <si>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</si>
  <si>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</si>
  <si>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</si>
  <si>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</si>
  <si>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</si>
  <si>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</si>
  <si>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</si>
  <si>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</si>
  <si>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</si>
  <si>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</si>
  <si>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</si>
  <si>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</si>
  <si>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</si>
  <si>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</si>
  <si>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</si>
  <si>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</si>
  <si>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</si>
  <si>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</si>
  <si>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</si>
  <si>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</si>
  <si>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</si>
  <si>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</si>
  <si>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</si>
  <si>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</si>
  <si>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</si>
  <si>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</si>
  <si>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</si>
  <si>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</si>
  <si>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</si>
  <si>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</si>
  <si>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</si>
  <si>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</si>
  <si>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</si>
  <si>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</si>
  <si>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</si>
  <si>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</si>
  <si>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</si>
  <si>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</si>
  <si>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</si>
  <si>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</si>
  <si>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</si>
  <si>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</si>
  <si>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</si>
  <si>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</si>
  <si>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</si>
  <si>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</si>
  <si>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</si>
  <si>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</si>
  <si>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</si>
  <si>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</si>
  <si>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</si>
  <si>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</si>
  <si>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</si>
  <si>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</si>
  <si>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</si>
  <si>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</si>
  <si>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</si>
  <si>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</si>
  <si>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</si>
  <si>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</si>
  <si>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</si>
  <si>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</si>
  <si>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</si>
  <si>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</si>
  <si>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</si>
  <si>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</si>
  <si>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</si>
  <si>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</si>
  <si>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</si>
  <si>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</si>
  <si>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</si>
  <si>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</si>
  <si>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</si>
  <si>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</si>
  <si>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</si>
  <si>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</si>
  <si>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</si>
  <si>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</si>
  <si>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</si>
  <si>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</si>
  <si>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</si>
  <si>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</si>
  <si>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</si>
  <si>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</si>
  <si>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</si>
  <si>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</si>
  <si>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</si>
  <si>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</si>
  <si>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</si>
  <si>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</si>
  <si>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</si>
  <si>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</si>
  <si>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</si>
  <si>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</si>
  <si>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</si>
  <si>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</si>
  <si>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</si>
  <si>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</si>
  <si>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</si>
  <si>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</si>
  <si>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</si>
  <si>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</si>
  <si>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</si>
  <si>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</si>
  <si>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</si>
  <si>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</si>
  <si>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</si>
  <si>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</si>
  <si>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</si>
  <si>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</si>
  <si>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</si>
  <si>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</si>
  <si>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</si>
  <si>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</si>
  <si>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</si>
  <si>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</si>
  <si>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</si>
  <si>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</si>
  <si>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</si>
  <si>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</si>
  <si>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</si>
  <si>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</si>
  <si>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</si>
  <si>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</si>
  <si>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</si>
  <si>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</si>
  <si>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</si>
  <si>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</si>
  <si>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</si>
  <si>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</si>
  <si>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</si>
  <si>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</si>
  <si>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</si>
  <si>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</si>
  <si>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</si>
  <si>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</si>
  <si>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</si>
  <si>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</si>
  <si>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</si>
  <si>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</si>
  <si>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</si>
  <si>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</si>
  <si>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</si>
  <si>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</si>
  <si>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</si>
  <si>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</si>
  <si>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</si>
  <si>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</si>
  <si>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</si>
  <si>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</si>
  <si>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</si>
  <si>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</si>
  <si>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</si>
  <si>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</si>
  <si>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</si>
  <si>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</si>
  <si>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</si>
  <si>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</si>
  <si>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</si>
  <si>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</si>
  <si>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</si>
  <si>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</si>
  <si>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</si>
  <si>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</si>
  <si>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</si>
  <si>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</si>
  <si>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</si>
  <si>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</si>
  <si>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</si>
  <si>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</si>
  <si>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</si>
  <si>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</si>
  <si>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</si>
  <si>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</si>
  <si>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</si>
  <si>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</si>
  <si>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</si>
  <si>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</si>
  <si>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</si>
  <si>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</si>
  <si>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</si>
  <si>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</si>
  <si>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</si>
  <si>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</si>
  <si>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</si>
  <si>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</si>
  <si>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</si>
  <si>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</si>
  <si>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</si>
  <si>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</si>
  <si>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</si>
  <si>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</si>
  <si>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</si>
  <si>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</si>
  <si>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</si>
  <si>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</si>
  <si>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</si>
  <si>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</si>
  <si>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</si>
  <si>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</si>
  <si>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</si>
  <si>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</si>
  <si>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</si>
  <si>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</si>
  <si>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</si>
  <si>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</si>
  <si>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</si>
  <si>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</si>
  <si>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</si>
  <si>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</si>
  <si>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</si>
  <si>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</si>
  <si>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</si>
  <si>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</si>
  <si>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</si>
  <si>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</si>
  <si>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</si>
  <si>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</si>
  <si>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</si>
  <si>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</si>
  <si>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</si>
  <si>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</si>
  <si>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</si>
  <si>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</si>
  <si>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</si>
  <si>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</si>
  <si>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</si>
  <si>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</si>
  <si>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</si>
  <si>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</si>
  <si>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</si>
  <si>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</si>
  <si>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</si>
  <si>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</si>
  <si>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</si>
  <si>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</si>
  <si>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</si>
  <si>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</si>
  <si>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</si>
  <si>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</si>
  <si>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</si>
  <si>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</si>
  <si>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</si>
  <si>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</si>
  <si>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</si>
  <si>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</si>
  <si>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</si>
  <si>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</si>
  <si>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</si>
  <si>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</si>
  <si>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</si>
  <si>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</si>
  <si>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</si>
  <si>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</si>
  <si>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</si>
  <si>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</si>
  <si>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</si>
  <si>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</si>
  <si>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</si>
  <si>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</si>
  <si>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</si>
  <si>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</si>
  <si>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</si>
  <si>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</si>
  <si>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</si>
  <si>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</si>
  <si>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</si>
  <si>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</si>
  <si>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</si>
  <si>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</si>
  <si>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</si>
  <si>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</si>
  <si>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</si>
  <si>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</si>
  <si>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</si>
  <si>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</si>
  <si>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</si>
  <si>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</si>
  <si>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</si>
  <si>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</si>
  <si>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</si>
  <si>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</si>
  <si>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</si>
  <si>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</si>
  <si>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</si>
  <si>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</si>
  <si>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</si>
  <si>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</si>
  <si>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</si>
  <si>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</si>
  <si>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</si>
  <si>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</si>
  <si>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</si>
  <si>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</si>
  <si>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</si>
  <si>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</si>
  <si>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</si>
  <si>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</si>
  <si>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</si>
  <si>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</si>
  <si>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</si>
  <si>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</si>
  <si>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</si>
  <si>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</si>
  <si>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</si>
  <si>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</si>
  <si>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</si>
  <si>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</si>
  <si>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</si>
  <si>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</si>
  <si>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</si>
  <si>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</si>
  <si>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</si>
  <si>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</si>
  <si>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</si>
  <si>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</si>
  <si>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</si>
  <si>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</si>
  <si>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</si>
  <si>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</si>
  <si>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</si>
  <si>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</si>
  <si>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</si>
  <si>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</si>
  <si>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</si>
  <si>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</si>
  <si>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</si>
  <si>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</si>
  <si>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</si>
  <si>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</si>
  <si>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</si>
  <si>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</si>
  <si>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</si>
  <si>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</si>
  <si>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</si>
  <si>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</si>
  <si>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</si>
  <si>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</si>
  <si>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</si>
  <si>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</si>
  <si>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</si>
  <si>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</si>
  <si>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</si>
  <si>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</si>
  <si>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</si>
  <si>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</si>
  <si>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</si>
  <si>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</si>
  <si>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</si>
  <si>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</si>
  <si>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</si>
  <si>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</si>
  <si>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</si>
  <si>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</si>
  <si>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</si>
  <si>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</si>
  <si>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</si>
  <si>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</si>
  <si>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</si>
  <si>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</si>
  <si>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</si>
  <si>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</si>
  <si>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</si>
  <si>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</si>
  <si>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</si>
  <si>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</si>
  <si>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</si>
  <si>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</si>
  <si>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</si>
  <si>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</si>
  <si>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</si>
  <si>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</si>
  <si>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</si>
  <si>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</si>
  <si>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</si>
  <si>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</si>
  <si>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</si>
  <si>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</si>
  <si>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</si>
  <si>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</si>
  <si>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</si>
  <si>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</si>
  <si>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</si>
  <si>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</si>
  <si>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</si>
  <si>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</si>
  <si>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</si>
  <si>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</si>
  <si>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</si>
  <si>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</si>
  <si>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</si>
  <si>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</si>
  <si>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</si>
  <si>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</si>
  <si>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</si>
  <si>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</si>
  <si>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</si>
  <si>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</si>
  <si>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</si>
  <si>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</si>
  <si>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</si>
  <si>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</si>
  <si>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</si>
  <si>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</si>
  <si>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</si>
  <si>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</si>
  <si>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</si>
  <si>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</si>
  <si>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</si>
  <si>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</si>
  <si>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</si>
  <si>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</si>
  <si>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</si>
  <si>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</si>
  <si>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</si>
  <si>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</si>
  <si>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</si>
  <si>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</si>
  <si>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</si>
  <si>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</si>
  <si>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</si>
  <si>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</si>
  <si>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</si>
  <si>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</si>
  <si>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</si>
  <si>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</si>
  <si>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</si>
  <si>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</si>
  <si>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</si>
  <si>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</si>
  <si>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</si>
  <si>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</si>
  <si>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</si>
  <si>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</si>
  <si>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</si>
  <si>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</si>
  <si>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</si>
  <si>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</si>
  <si>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</si>
  <si>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</si>
  <si>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</si>
  <si>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</si>
  <si>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</si>
  <si>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</si>
  <si>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</si>
  <si>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</si>
  <si>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</si>
  <si>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</si>
  <si>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</si>
  <si>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</si>
  <si>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</si>
  <si>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</si>
  <si>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</si>
  <si>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</si>
  <si>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</si>
  <si>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</si>
  <si>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</si>
  <si>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</si>
  <si>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</si>
  <si>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</si>
  <si>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</si>
  <si>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</si>
  <si>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</si>
  <si>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</si>
  <si>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</si>
  <si>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</si>
  <si>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</si>
  <si>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</si>
  <si>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</si>
  <si>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</si>
  <si>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</si>
  <si>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</si>
  <si>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</si>
  <si>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</si>
  <si>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</si>
  <si>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</si>
  <si>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</si>
  <si>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</si>
  <si>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</si>
  <si>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</si>
  <si>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</si>
  <si>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</si>
  <si>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</si>
  <si>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</si>
  <si>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</si>
  <si>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</si>
  <si>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</si>
  <si>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</si>
  <si>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</si>
  <si>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</si>
  <si>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</si>
  <si>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</si>
  <si>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</si>
  <si>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</si>
  <si>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</si>
  <si>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</si>
  <si>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</si>
  <si>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</si>
  <si>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</si>
  <si>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</si>
  <si>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</si>
  <si>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</si>
  <si>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</si>
  <si>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</si>
  <si>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</si>
  <si>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</si>
  <si>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</si>
  <si>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</si>
  <si>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</si>
  <si>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</si>
  <si>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</si>
  <si>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</si>
  <si>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</si>
  <si>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</si>
  <si>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</si>
  <si>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</si>
  <si>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</si>
  <si>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</si>
  <si>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</si>
  <si>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</si>
  <si>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</si>
  <si>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</si>
  <si>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</si>
  <si>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</si>
  <si>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</si>
  <si>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</si>
  <si>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</si>
  <si>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</si>
  <si>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</si>
  <si>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</si>
  <si>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</si>
  <si>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</si>
  <si>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</si>
  <si>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</si>
  <si>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</si>
  <si>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</si>
  <si>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</si>
  <si>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</si>
  <si>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</si>
  <si>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</si>
  <si>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</si>
  <si>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</si>
  <si>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</si>
  <si>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</si>
  <si>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</si>
  <si>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</si>
  <si>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</si>
  <si>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</si>
  <si>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</si>
  <si>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</si>
  <si>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</si>
  <si>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</si>
  <si>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</si>
  <si>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</si>
  <si>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</si>
  <si>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</si>
  <si>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</si>
  <si>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</si>
  <si>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</si>
  <si>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</si>
  <si>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</si>
  <si>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</si>
  <si>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</si>
  <si>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</si>
  <si>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</si>
  <si>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</si>
  <si>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</si>
  <si>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</si>
  <si>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</si>
  <si>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</si>
  <si>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</si>
  <si>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</si>
  <si>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</si>
  <si>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</si>
  <si>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</si>
  <si>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</si>
  <si>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</si>
  <si>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</si>
  <si>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</si>
  <si>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</si>
  <si>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</si>
  <si>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</si>
  <si>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</si>
  <si>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</si>
  <si>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</si>
  <si>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</si>
  <si>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</si>
  <si>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</si>
  <si>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</si>
  <si>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</si>
  <si>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</si>
  <si>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</si>
  <si>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</si>
  <si>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</si>
  <si>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</si>
  <si>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</si>
  <si>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</si>
  <si>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</si>
  <si>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</si>
  <si>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</si>
  <si>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</si>
  <si>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</si>
  <si>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</si>
  <si>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</si>
  <si>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</si>
  <si>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</si>
  <si>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</si>
  <si>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</si>
  <si>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</si>
  <si>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</si>
  <si>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</si>
  <si>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</si>
  <si>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</si>
  <si>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</si>
  <si>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</si>
  <si>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</si>
  <si>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</si>
  <si>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</si>
  <si>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</si>
  <si>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</si>
  <si>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</si>
  <si>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</si>
  <si>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</si>
  <si>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</si>
  <si>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</si>
  <si>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</si>
  <si>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</si>
  <si>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</si>
  <si>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</si>
  <si>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</si>
  <si>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</si>
  <si>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</si>
  <si>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</si>
  <si>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</si>
  <si>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</si>
  <si>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</si>
  <si>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</si>
  <si>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</si>
  <si>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</si>
  <si>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</si>
  <si>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</si>
  <si>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</si>
  <si>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</si>
  <si>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</si>
  <si>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</si>
  <si>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</si>
  <si>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</si>
  <si>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</si>
  <si>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</si>
  <si>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</si>
  <si>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</si>
  <si>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</si>
  <si>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</si>
  <si>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</si>
  <si>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</si>
  <si>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</si>
  <si>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</si>
  <si>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</si>
  <si>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</si>
  <si>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</si>
  <si>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</si>
  <si>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</si>
  <si>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</si>
  <si>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</si>
  <si>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</si>
  <si>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</si>
  <si>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</si>
  <si>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</si>
  <si>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</si>
  <si>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</si>
  <si>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</si>
  <si>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</si>
  <si>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</si>
  <si>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</si>
  <si>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</si>
  <si>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</si>
  <si>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</si>
  <si>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</si>
  <si>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</si>
  <si>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</si>
  <si>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</si>
  <si>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</si>
  <si>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</si>
  <si>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</si>
  <si>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</si>
  <si>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</si>
  <si>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</si>
  <si>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</si>
  <si>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</si>
  <si>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</si>
  <si>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</si>
  <si>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</si>
  <si>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</si>
  <si>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</si>
  <si>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</si>
  <si>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</si>
  <si>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</si>
  <si>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</si>
  <si>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</si>
  <si>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</si>
  <si>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</si>
  <si>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</si>
  <si>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</si>
  <si>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</si>
  <si>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</si>
  <si>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</si>
  <si>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</si>
  <si>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</si>
  <si>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</si>
  <si>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</si>
  <si>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</si>
  <si>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</si>
  <si>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</si>
  <si>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</si>
  <si>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</si>
  <si>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</si>
  <si>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</si>
  <si>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</si>
  <si>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</si>
  <si>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</si>
  <si>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</si>
  <si>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</si>
  <si>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</si>
  <si>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</si>
  <si>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</si>
  <si>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</si>
  <si>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</si>
  <si>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</si>
  <si>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</si>
  <si>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</si>
  <si>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</si>
  <si>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</si>
  <si>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</si>
  <si>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</si>
  <si>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</si>
  <si>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</si>
  <si>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</si>
  <si>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</si>
  <si>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</si>
  <si>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</si>
  <si>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</si>
  <si>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</si>
  <si>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</si>
  <si>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</si>
  <si>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</si>
  <si>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</si>
  <si>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</si>
  <si>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</si>
  <si>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</si>
  <si>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</si>
  <si>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</si>
  <si>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</si>
  <si>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</si>
  <si>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</si>
  <si>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</si>
  <si>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</si>
  <si>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</si>
  <si>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</si>
  <si>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</si>
  <si>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</si>
  <si>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</si>
  <si>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</si>
  <si>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</si>
  <si>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</si>
  <si>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</si>
  <si>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</si>
  <si>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</si>
  <si>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</si>
  <si>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</si>
  <si>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</si>
  <si>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</si>
  <si>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</si>
  <si>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</si>
  <si>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</si>
  <si>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</si>
  <si>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</si>
  <si>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</si>
  <si>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</si>
  <si>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</si>
  <si>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</si>
  <si>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</si>
  <si>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</si>
  <si>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</si>
  <si>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</si>
  <si>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</si>
  <si>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</si>
  <si>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</si>
  <si>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</si>
  <si>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</si>
  <si>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</si>
  <si>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</si>
  <si>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</si>
  <si>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</si>
  <si>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</si>
  <si>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</si>
  <si>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</si>
  <si>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</si>
  <si>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</si>
  <si>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</si>
  <si>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</si>
  <si>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</si>
  <si>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</si>
  <si>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</si>
  <si>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</si>
  <si>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</si>
  <si>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</si>
  <si>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</si>
  <si>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</si>
  <si>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</si>
  <si>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</si>
  <si>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</si>
  <si>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</si>
  <si>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</si>
  <si>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</si>
  <si>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</si>
  <si>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</si>
  <si>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</si>
  <si>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</si>
  <si>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</si>
  <si>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</si>
  <si>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</si>
  <si>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</si>
  <si>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</si>
  <si>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</si>
  <si>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</si>
  <si>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</si>
  <si>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</si>
  <si>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</si>
  <si>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</si>
  <si>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</si>
  <si>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</si>
  <si>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</si>
  <si>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</si>
  <si>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</si>
  <si>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</si>
  <si>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</si>
  <si>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</si>
  <si>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</si>
  <si>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</si>
  <si>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</si>
  <si>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</si>
  <si>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</si>
  <si>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</si>
  <si>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</si>
  <si>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</si>
  <si>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</si>
  <si>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</si>
  <si>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</si>
  <si>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</si>
  <si>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</si>
  <si>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</si>
  <si>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</si>
  <si>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</si>
  <si>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</si>
  <si>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</si>
  <si>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</si>
  <si>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</si>
  <si>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</si>
  <si>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</si>
  <si>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</si>
  <si>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</si>
  <si>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</si>
  <si>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</si>
  <si>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</si>
  <si>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</si>
  <si>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</si>
  <si>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</si>
  <si>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</si>
  <si>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</si>
  <si>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</si>
  <si>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</si>
  <si>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</si>
  <si>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</si>
  <si>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</si>
  <si>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</si>
  <si>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</si>
  <si>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</si>
  <si>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</si>
  <si>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</si>
  <si>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</si>
  <si>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</si>
  <si>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</si>
  <si>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</si>
  <si>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</si>
  <si>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</si>
  <si>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</si>
  <si>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</si>
  <si>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</si>
  <si>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</si>
  <si>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</si>
  <si>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</si>
  <si>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</si>
  <si>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</si>
  <si>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</si>
  <si>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</si>
  <si>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</si>
  <si>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</si>
  <si>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</si>
  <si>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</si>
  <si>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</si>
  <si>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</si>
  <si>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</si>
  <si>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</si>
  <si>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</si>
  <si>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</si>
  <si>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</si>
  <si>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</si>
  <si>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</si>
  <si>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</si>
  <si>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</si>
  <si>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</si>
  <si>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</si>
  <si>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</si>
  <si>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</si>
  <si>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</si>
  <si>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</si>
  <si>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</si>
  <si>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</si>
  <si>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</si>
  <si>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</si>
  <si>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</si>
  <si>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</si>
  <si>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</si>
  <si>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</si>
  <si>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</si>
  <si>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</si>
  <si>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</si>
  <si>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</si>
  <si>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</si>
  <si>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</si>
  <si>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</si>
  <si>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</si>
  <si>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</si>
  <si>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</si>
  <si>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</si>
  <si>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</si>
  <si>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</si>
  <si>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</si>
  <si>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</si>
  <si>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</si>
  <si>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</si>
  <si>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</si>
  <si>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</si>
  <si>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</si>
  <si>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</si>
  <si>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</si>
  <si>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</si>
  <si>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</si>
  <si>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</si>
  <si>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</si>
  <si>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</si>
  <si>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</si>
  <si>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</si>
  <si>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</si>
  <si>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</si>
  <si>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</si>
  <si>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</si>
  <si>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</si>
  <si>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</si>
  <si>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</si>
  <si>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</si>
  <si>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</si>
  <si>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</si>
  <si>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</si>
  <si>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</si>
  <si>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</si>
  <si>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</si>
  <si>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</si>
  <si>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</si>
  <si>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</si>
  <si>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</si>
  <si>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</si>
  <si>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</si>
  <si>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</si>
  <si>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</si>
  <si>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</si>
  <si>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</si>
  <si>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</si>
  <si>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</si>
  <si>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</si>
  <si>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</si>
  <si>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</si>
  <si>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</si>
  <si>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</si>
  <si>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</si>
  <si>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</si>
  <si>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</si>
  <si>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</si>
  <si>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</si>
  <si>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</si>
  <si>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</si>
  <si>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</si>
  <si>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</si>
  <si>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</si>
  <si>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</si>
  <si>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</si>
  <si>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</si>
  <si>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</si>
  <si>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</si>
  <si>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</si>
  <si>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</si>
  <si>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</si>
  <si>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</si>
  <si>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</si>
  <si>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</si>
  <si>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</si>
  <si>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</si>
  <si>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</si>
  <si>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</si>
  <si>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</si>
  <si>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</si>
  <si>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</si>
  <si>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</si>
  <si>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</si>
  <si>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</si>
  <si>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</si>
  <si>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</si>
  <si>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</si>
  <si>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</si>
  <si>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</si>
  <si>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</si>
  <si>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</si>
  <si>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</si>
  <si>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</si>
  <si>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</si>
  <si>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</si>
  <si>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</si>
  <si>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</si>
  <si>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</si>
  <si>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</si>
  <si>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</si>
  <si>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</si>
  <si>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</si>
  <si>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</si>
  <si>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</si>
  <si>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</si>
  <si>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</si>
  <si>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</si>
  <si>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</si>
  <si>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</si>
  <si>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</si>
  <si>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</si>
  <si>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</si>
  <si>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</si>
  <si>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</si>
  <si>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</si>
  <si>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</si>
  <si>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</si>
  <si>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</si>
  <si>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</si>
  <si>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</si>
  <si>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</si>
  <si>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</si>
  <si>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</si>
  <si>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</si>
  <si>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</si>
  <si>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</si>
  <si>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</si>
  <si>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</si>
  <si>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</si>
  <si>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</si>
  <si>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</si>
  <si>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</si>
  <si>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</si>
  <si>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</si>
  <si>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</si>
  <si>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</si>
  <si>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</si>
  <si>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</si>
  <si>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</si>
  <si>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</si>
  <si>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</si>
  <si>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</si>
  <si>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</si>
  <si>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</si>
  <si>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</si>
  <si>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</si>
  <si>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</si>
  <si>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</si>
  <si>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</si>
  <si>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</si>
  <si>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</si>
  <si>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</si>
  <si>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</si>
  <si>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</si>
  <si>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</si>
  <si>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</si>
  <si>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</si>
  <si>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</si>
  <si>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</si>
  <si>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</si>
  <si>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</si>
  <si>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</si>
  <si>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</si>
  <si>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</si>
  <si>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</si>
  <si>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</si>
  <si>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</si>
  <si>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</si>
  <si>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</si>
  <si>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</si>
  <si>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</si>
  <si>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</si>
  <si>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</si>
  <si>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</si>
  <si>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</si>
  <si>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</si>
  <si>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</si>
  <si>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</si>
  <si>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</si>
  <si>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</si>
  <si>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</si>
  <si>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</si>
  <si>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</si>
  <si>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</si>
  <si>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</si>
  <si>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</si>
  <si>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</si>
  <si>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</si>
  <si>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</si>
  <si>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</si>
  <si>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</si>
  <si>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</si>
  <si>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</si>
  <si>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</si>
  <si>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</si>
  <si>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</si>
  <si>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</si>
  <si>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</si>
  <si>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</si>
  <si>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</si>
  <si>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</si>
  <si>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</si>
  <si>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</si>
  <si>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</si>
  <si>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</si>
  <si>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</si>
  <si>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</si>
  <si>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</si>
  <si>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</si>
  <si>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</si>
  <si>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</si>
  <si>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</si>
  <si>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</si>
  <si>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</si>
  <si>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</si>
  <si>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</si>
  <si>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</si>
  <si>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</si>
  <si>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</si>
  <si>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</si>
  <si>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</si>
  <si>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</si>
  <si>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</si>
  <si>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</si>
  <si>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</si>
  <si>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</si>
  <si>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</si>
  <si>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</si>
  <si>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</si>
  <si>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</si>
  <si>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</si>
  <si>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</si>
  <si>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</si>
  <si>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</si>
  <si>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</si>
  <si>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</si>
  <si>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</si>
  <si>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</si>
  <si>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</si>
  <si>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</si>
  <si>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</si>
  <si>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</si>
  <si>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</si>
  <si>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</si>
  <si>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</si>
  <si>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</si>
  <si>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</si>
  <si>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</si>
  <si>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</si>
  <si>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</si>
  <si>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</si>
  <si>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</si>
  <si>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</si>
  <si>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</si>
  <si>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</si>
  <si>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</si>
  <si>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</si>
  <si>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</si>
  <si>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</si>
  <si>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</si>
  <si>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</si>
  <si>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</si>
  <si>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</si>
  <si>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</si>
  <si>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</si>
  <si>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</si>
  <si>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</si>
  <si>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</si>
  <si>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</si>
  <si>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</si>
  <si>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</si>
  <si>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</si>
  <si>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</si>
  <si>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</si>
  <si>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</si>
  <si>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</si>
  <si>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</si>
  <si>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</si>
  <si>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</si>
  <si>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</si>
  <si>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</si>
  <si>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</si>
  <si>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</si>
  <si>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</si>
  <si>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</si>
  <si>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</si>
  <si>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</si>
  <si>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</si>
  <si>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</si>
  <si>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</si>
  <si>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</si>
  <si>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</si>
  <si>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</si>
  <si>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</si>
  <si>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</si>
  <si>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</si>
  <si>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</si>
  <si>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</si>
  <si>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</si>
  <si>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</si>
  <si>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</si>
  <si>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</si>
  <si>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</si>
  <si>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</si>
  <si>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</si>
  <si>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</si>
  <si>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</si>
  <si>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</si>
  <si>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</si>
  <si>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</si>
  <si>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</si>
  <si>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</si>
  <si>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</si>
  <si>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</si>
  <si>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</si>
  <si>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</si>
  <si>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</si>
  <si>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</si>
  <si>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</si>
  <si>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</si>
  <si>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</si>
  <si>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</si>
  <si>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</si>
  <si>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</si>
  <si>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</si>
  <si>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</si>
  <si>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</si>
  <si>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</si>
  <si>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</si>
  <si>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</si>
  <si>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</si>
  <si>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</si>
  <si>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</si>
  <si>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</si>
  <si>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</si>
  <si>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</si>
  <si>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</si>
  <si>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</si>
  <si>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</si>
  <si>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</si>
  <si>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</si>
  <si>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</si>
  <si>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</si>
  <si>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</si>
  <si>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</si>
  <si>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</si>
  <si>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</si>
  <si>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</si>
  <si>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</si>
  <si>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</si>
  <si>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</si>
  <si>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</si>
  <si>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</si>
  <si>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</si>
  <si>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</si>
  <si>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</si>
  <si>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</si>
  <si>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</si>
  <si>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</si>
  <si>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</si>
  <si>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</si>
  <si>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</si>
  <si>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</si>
  <si>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</si>
  <si>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</si>
  <si>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</si>
  <si>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</si>
  <si>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</si>
  <si>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</si>
  <si>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</si>
  <si>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</si>
  <si>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</si>
  <si>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</si>
  <si>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</si>
  <si>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</si>
  <si>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</si>
  <si>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</si>
  <si>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</si>
  <si>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</si>
  <si>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</si>
  <si>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</si>
  <si>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</si>
  <si>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</si>
  <si>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</si>
  <si>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</si>
  <si>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</si>
  <si>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</si>
  <si>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</si>
  <si>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</si>
  <si>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</si>
  <si>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</si>
  <si>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</si>
  <si>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</si>
  <si>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</si>
  <si>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</si>
  <si>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</si>
  <si>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</si>
  <si>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</si>
  <si>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</si>
  <si>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</si>
  <si>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</si>
  <si>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</si>
  <si>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</si>
  <si>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</si>
  <si>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</si>
  <si>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</si>
  <si>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</si>
  <si>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</si>
  <si>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</si>
  <si>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</si>
  <si>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</si>
  <si>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</si>
  <si>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</si>
  <si>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</si>
  <si>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</si>
  <si>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</si>
  <si>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</si>
  <si>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</si>
  <si>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</si>
  <si>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</si>
  <si>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</si>
  <si>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</si>
  <si>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</si>
  <si>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</si>
  <si>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</si>
  <si>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</si>
  <si>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</si>
  <si>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</si>
  <si>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</si>
  <si>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</si>
  <si>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</si>
  <si>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</si>
  <si>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</si>
  <si>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</si>
  <si>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</si>
  <si>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</si>
  <si>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</si>
  <si>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</si>
  <si>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</si>
  <si>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</si>
  <si>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</si>
  <si>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</si>
  <si>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</si>
  <si>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</si>
  <si>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</si>
  <si>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</si>
  <si>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</si>
  <si>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</si>
  <si>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</si>
  <si>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</si>
  <si>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</si>
  <si>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</si>
  <si>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</si>
  <si>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</si>
  <si>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</si>
  <si>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</si>
  <si>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</si>
  <si>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</si>
  <si>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</si>
  <si>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</si>
  <si>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</si>
  <si>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</si>
  <si>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</si>
  <si>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</si>
  <si>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</si>
  <si>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</si>
  <si>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</si>
  <si>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</si>
  <si>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</si>
  <si>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</si>
  <si>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</si>
  <si>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</si>
  <si>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</si>
  <si>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</si>
  <si>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</si>
  <si>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</si>
  <si>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</si>
  <si>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</si>
  <si>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</si>
  <si>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</si>
  <si>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</si>
  <si>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</si>
  <si>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</si>
  <si>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</si>
  <si>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</si>
  <si>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</si>
  <si>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</si>
  <si>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</si>
  <si>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</si>
  <si>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</si>
  <si>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</si>
  <si>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</si>
  <si>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</si>
  <si>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</si>
  <si>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</si>
  <si>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</si>
  <si>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</si>
  <si>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</si>
  <si>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</si>
  <si>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</si>
  <si>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</si>
  <si>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</si>
  <si>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</si>
  <si>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</si>
  <si>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</si>
  <si>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</si>
  <si>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</si>
  <si>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</si>
  <si>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</si>
  <si>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</si>
  <si>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</si>
  <si>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</si>
  <si>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</si>
  <si>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</si>
  <si>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</si>
  <si>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</si>
  <si>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</si>
  <si>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</si>
  <si>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</si>
  <si>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</si>
  <si>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</si>
  <si>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</si>
  <si>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</si>
  <si>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</si>
  <si>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</si>
  <si>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</si>
  <si>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</si>
  <si>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</si>
  <si>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</si>
  <si>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</si>
  <si>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</si>
  <si>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</si>
  <si>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</si>
  <si>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</si>
  <si>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</si>
  <si>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</si>
  <si>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</si>
  <si>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</si>
  <si>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</si>
  <si>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</si>
  <si>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</si>
  <si>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</si>
  <si>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</si>
  <si>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</si>
  <si>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</si>
  <si>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</si>
  <si>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</si>
  <si>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</si>
  <si>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</si>
  <si>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</si>
  <si>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</si>
  <si>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</si>
  <si>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</si>
  <si>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</si>
  <si>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</si>
  <si>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</si>
  <si>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</si>
  <si>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</si>
  <si>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</si>
  <si>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</si>
  <si>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</si>
  <si>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</si>
  <si>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</si>
  <si>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</si>
  <si>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</si>
  <si>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</si>
  <si>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</si>
  <si>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</si>
  <si>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</si>
  <si>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</si>
  <si>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</si>
  <si>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</si>
  <si>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</si>
  <si>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</si>
  <si>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</si>
  <si>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</si>
  <si>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</si>
  <si>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</si>
  <si>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</si>
  <si>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</si>
  <si>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</si>
  <si>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</si>
  <si>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</si>
  <si>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</si>
  <si>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</si>
  <si>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</si>
  <si>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</si>
  <si>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</si>
  <si>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</si>
  <si>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</si>
  <si>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</si>
  <si>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</si>
  <si>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</si>
  <si>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</si>
  <si>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</si>
  <si>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</si>
  <si>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</si>
  <si>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</si>
  <si>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</si>
  <si>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</si>
  <si>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</si>
  <si>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</si>
  <si>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</si>
  <si>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</si>
  <si>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</si>
  <si>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</si>
  <si>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</si>
  <si>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</si>
  <si>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</si>
  <si>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</si>
  <si>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</si>
  <si>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</si>
  <si>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</si>
  <si>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</si>
  <si>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</si>
  <si>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</si>
  <si>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</si>
  <si>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</si>
  <si>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</si>
  <si>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</si>
  <si>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</si>
  <si>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</si>
  <si>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</si>
  <si>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</si>
  <si>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</si>
  <si>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</si>
  <si>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</si>
  <si>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</si>
  <si>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</si>
  <si>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</si>
  <si>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</si>
  <si>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</si>
  <si>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</si>
  <si>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</si>
  <si>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</si>
  <si>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</si>
  <si>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</si>
  <si>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</si>
  <si>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</si>
  <si>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</si>
  <si>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</si>
  <si>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</si>
  <si>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</si>
  <si>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</si>
  <si>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</si>
  <si>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</si>
  <si>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</si>
  <si>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</si>
  <si>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</si>
  <si>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</si>
  <si>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</si>
  <si>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</si>
  <si>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</si>
  <si>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</si>
  <si>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</si>
  <si>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</si>
  <si>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</si>
  <si>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</si>
  <si>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</si>
  <si>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</si>
  <si>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</si>
  <si>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</si>
  <si>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</si>
  <si>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</si>
  <si>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</si>
  <si>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</si>
  <si>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</si>
  <si>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</si>
  <si>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</si>
  <si>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</si>
  <si>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</si>
  <si>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</si>
  <si>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</si>
  <si>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</si>
  <si>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</si>
  <si>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</si>
  <si>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</si>
  <si>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</si>
  <si>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</si>
  <si>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</si>
  <si>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</si>
  <si>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</si>
  <si>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</si>
  <si>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</si>
  <si>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</si>
  <si>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</si>
  <si>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</si>
  <si>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</si>
  <si>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</si>
  <si>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</si>
  <si>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</si>
  <si>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</si>
  <si>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</si>
  <si>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</si>
  <si>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</si>
  <si>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</si>
  <si>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</si>
  <si>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</si>
  <si>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</si>
  <si>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</si>
  <si>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</si>
  <si>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</si>
  <si>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</si>
  <si>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</si>
  <si>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</si>
  <si>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</si>
  <si>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</si>
  <si>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</si>
  <si>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</si>
  <si>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</si>
  <si>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</si>
  <si>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</si>
  <si>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</si>
  <si>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</si>
  <si>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</si>
  <si>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</si>
  <si>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</si>
  <si>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</si>
  <si>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</si>
  <si>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</si>
  <si>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</si>
  <si>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</si>
  <si>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</si>
  <si>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</si>
  <si>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</si>
  <si>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</si>
  <si>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</si>
  <si>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</si>
  <si>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</si>
  <si>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</si>
  <si>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</si>
  <si>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</si>
  <si>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</si>
  <si>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</si>
  <si>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</si>
  <si>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</si>
  <si>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</si>
  <si>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</si>
  <si>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</si>
  <si>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</si>
  <si>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</si>
  <si>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</si>
  <si>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</si>
  <si>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</si>
  <si>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</si>
  <si>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</si>
  <si>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</si>
  <si>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</si>
  <si>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</si>
  <si>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</si>
  <si>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</si>
  <si>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</si>
  <si>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</si>
  <si>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</si>
  <si>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</si>
  <si>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</si>
  <si>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</si>
  <si>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</si>
  <si>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</si>
  <si>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</si>
  <si>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</si>
  <si>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</si>
  <si>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</si>
  <si>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</si>
  <si>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</si>
  <si>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</si>
  <si>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</si>
  <si>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</si>
  <si>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</si>
  <si>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</si>
  <si>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</si>
  <si>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</si>
  <si>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</si>
  <si>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</si>
  <si>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</si>
  <si>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</si>
  <si>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</si>
  <si>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</si>
  <si>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</si>
  <si>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</si>
  <si>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</si>
  <si>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</si>
  <si>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</si>
  <si>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</si>
  <si>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</si>
  <si>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</si>
  <si>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</si>
  <si>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</si>
  <si>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</si>
  <si>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</si>
  <si>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</si>
  <si>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</si>
  <si>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</si>
  <si>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</si>
  <si>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</si>
  <si>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</si>
  <si>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</si>
  <si>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</si>
  <si>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</si>
  <si>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</si>
  <si>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</si>
  <si>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</si>
  <si>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</si>
  <si>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</si>
  <si>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</si>
  <si>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</si>
  <si>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</si>
  <si>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</si>
  <si>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</si>
  <si>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</si>
  <si>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</si>
  <si>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</si>
  <si>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</si>
  <si>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</si>
  <si>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</si>
  <si>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</si>
  <si>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</si>
  <si>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</si>
  <si>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</si>
  <si>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</si>
  <si>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</si>
  <si>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</si>
  <si>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</si>
  <si>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</si>
  <si>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</si>
  <si>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</si>
  <si>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</si>
  <si>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</si>
  <si>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</si>
  <si>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</si>
  <si>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</si>
  <si>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</si>
  <si>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</si>
  <si>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</si>
  <si>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</si>
  <si>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</si>
  <si>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</si>
  <si>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</si>
  <si>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</si>
  <si>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</si>
  <si>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</si>
  <si>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</si>
  <si>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</si>
  <si>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</si>
  <si>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</si>
  <si>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</si>
  <si>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</si>
  <si>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</si>
  <si>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</si>
  <si>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</si>
  <si>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</si>
  <si>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</si>
  <si>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</si>
  <si>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</si>
  <si>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</si>
  <si>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</si>
  <si>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</si>
  <si>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</si>
  <si>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</si>
  <si>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</si>
  <si>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</si>
  <si>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</si>
  <si>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</si>
  <si>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</si>
  <si>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</si>
  <si>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</si>
  <si>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</si>
  <si>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</si>
  <si>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</si>
  <si>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</si>
  <si>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</si>
  <si>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</si>
  <si>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</si>
  <si>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</si>
  <si>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</si>
  <si>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</si>
  <si>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</si>
  <si>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</si>
  <si>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</si>
  <si>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</si>
  <si>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</si>
  <si>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</si>
  <si>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</si>
  <si>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</si>
  <si>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</si>
  <si>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</si>
  <si>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</si>
  <si>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</si>
  <si>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</si>
  <si>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</si>
  <si>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</si>
  <si>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</si>
  <si>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</si>
  <si>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</si>
  <si>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</si>
  <si>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</si>
  <si>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</si>
  <si>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</si>
  <si>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</si>
  <si>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</si>
  <si>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</si>
  <si>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</si>
  <si>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</si>
  <si>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</si>
  <si>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</si>
  <si>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</si>
  <si>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</si>
  <si>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</si>
  <si>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</si>
  <si>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</si>
  <si>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</si>
  <si>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</si>
  <si>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</si>
  <si>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</si>
  <si>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</si>
  <si>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</si>
  <si>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</si>
  <si>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</si>
  <si>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</si>
  <si>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</si>
  <si>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</si>
  <si>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</si>
  <si>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</si>
  <si>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</si>
  <si>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</si>
  <si>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</si>
  <si>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</si>
  <si>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</si>
  <si>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</si>
  <si>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</si>
  <si>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</si>
  <si>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</si>
  <si>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</si>
  <si>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</si>
  <si>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</si>
  <si>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</si>
  <si>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</si>
  <si>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</si>
  <si>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</si>
  <si>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</si>
  <si>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</si>
  <si>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</si>
  <si>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</si>
  <si>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</si>
  <si>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</si>
  <si>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</si>
  <si>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</si>
  <si>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</si>
  <si>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</si>
  <si>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</si>
  <si>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</si>
  <si>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</si>
  <si>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</si>
  <si>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</si>
  <si>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</si>
  <si>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</si>
  <si>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</si>
  <si>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</si>
  <si>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</si>
  <si>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</si>
  <si>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</si>
  <si>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</si>
  <si>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</si>
  <si>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</si>
  <si>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</si>
  <si>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</si>
  <si>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</si>
  <si>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</si>
  <si>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</si>
  <si>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</si>
  <si>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</si>
  <si>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</si>
  <si>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</si>
  <si>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</si>
  <si>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</si>
  <si>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</si>
  <si>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</si>
  <si>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</si>
  <si>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</si>
  <si>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</si>
  <si>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</si>
  <si>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</si>
  <si>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</si>
  <si>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</si>
  <si>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</si>
  <si>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</si>
  <si>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</si>
  <si>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</si>
  <si>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</si>
  <si>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</si>
  <si>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</si>
  <si>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</si>
  <si>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</si>
  <si>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</si>
  <si>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</si>
  <si>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</si>
  <si>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</si>
  <si>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</si>
  <si>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</si>
  <si>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</si>
  <si>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</si>
  <si>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</si>
  <si>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</si>
  <si>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</si>
  <si>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</si>
  <si>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</si>
  <si>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</si>
  <si>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</si>
  <si>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</si>
  <si>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</si>
  <si>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</si>
  <si>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</si>
  <si>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</si>
  <si>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</si>
  <si>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</si>
  <si>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</si>
  <si>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</si>
  <si>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</si>
  <si>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</si>
  <si>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</si>
  <si>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</si>
  <si>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</si>
  <si>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</si>
  <si>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</si>
  <si>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</si>
  <si>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</si>
  <si>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</si>
  <si>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</si>
  <si>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</si>
  <si>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</si>
  <si>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</si>
  <si>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</si>
  <si>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</si>
  <si>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</si>
  <si>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</si>
  <si>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</si>
  <si>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</si>
  <si>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</si>
  <si>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</si>
  <si>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</si>
  <si>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</si>
  <si>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</si>
  <si>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</si>
  <si>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</si>
  <si>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</si>
  <si>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</si>
  <si>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</si>
  <si>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</si>
  <si>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</si>
  <si>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</si>
  <si>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</si>
  <si>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</si>
  <si>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</si>
  <si>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</si>
  <si>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</si>
  <si>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</si>
  <si>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</si>
  <si>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</si>
  <si>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</si>
  <si>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</si>
  <si>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</si>
  <si>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</si>
  <si>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</si>
  <si>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</si>
  <si>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</si>
  <si>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</si>
  <si>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</si>
  <si>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</si>
  <si>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</si>
  <si>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</si>
  <si>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</si>
  <si>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</si>
  <si>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</si>
  <si>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</si>
  <si>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</si>
  <si>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</si>
  <si>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</si>
  <si>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</si>
  <si>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</si>
  <si>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</si>
  <si>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</si>
  <si>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</si>
  <si>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</si>
  <si>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</si>
  <si>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</si>
  <si>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</si>
  <si>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</si>
  <si>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</si>
  <si>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</si>
  <si>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</si>
  <si>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</si>
  <si>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</si>
  <si>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</si>
  <si>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</si>
  <si>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</si>
  <si>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</si>
  <si>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</si>
  <si>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</si>
  <si>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</si>
  <si>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</si>
  <si>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</si>
  <si>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</si>
  <si>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</si>
  <si>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</si>
  <si>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</si>
  <si>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</si>
  <si>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</si>
  <si>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</si>
  <si>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</si>
  <si>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</si>
  <si>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</si>
  <si>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</si>
  <si>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</si>
  <si>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</si>
  <si>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</si>
  <si>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</si>
  <si>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</si>
  <si>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</si>
  <si>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</si>
  <si>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</si>
  <si>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</si>
  <si>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</si>
  <si>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</si>
  <si>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</si>
  <si>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</si>
  <si>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</si>
  <si>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</si>
  <si>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</si>
  <si>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</si>
  <si>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</si>
  <si>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</si>
  <si>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</si>
  <si>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</si>
  <si>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</si>
  <si>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</si>
  <si>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</si>
  <si>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</si>
  <si>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</si>
  <si>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</si>
  <si>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</si>
  <si>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</si>
  <si>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</si>
  <si>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</si>
  <si>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</si>
  <si>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</si>
  <si>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</si>
  <si>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</si>
  <si>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</si>
  <si>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</si>
  <si>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</si>
  <si>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</si>
  <si>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</si>
  <si>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</si>
  <si>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</si>
  <si>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</si>
  <si>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</si>
  <si>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</si>
  <si>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</si>
  <si>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</si>
  <si>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</si>
  <si>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</si>
  <si>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</si>
  <si>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</si>
  <si>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</si>
  <si>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</si>
  <si>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</si>
  <si>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</si>
  <si>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</si>
  <si>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</si>
  <si>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</si>
  <si>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</si>
  <si>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</si>
  <si>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</si>
  <si>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</si>
  <si>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</si>
  <si>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</si>
  <si>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</si>
  <si>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</si>
  <si>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</si>
  <si>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</si>
  <si>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</si>
  <si>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</si>
  <si>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</si>
  <si>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</si>
  <si>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</si>
  <si>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</si>
  <si>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</si>
  <si>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</si>
  <si>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</si>
  <si>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</si>
  <si>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</si>
  <si>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</si>
  <si>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</si>
  <si>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</si>
  <si>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</si>
  <si>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</si>
  <si>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</si>
  <si>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</si>
  <si>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</si>
  <si>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</si>
  <si>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</si>
  <si>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</si>
  <si>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</si>
  <si>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</si>
  <si>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</si>
  <si>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</si>
  <si>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</si>
  <si>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</si>
  <si>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</si>
  <si>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</si>
  <si>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</si>
  <si>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</si>
  <si>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</si>
  <si>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</si>
  <si>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</si>
  <si>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</si>
  <si>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</si>
  <si>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</si>
  <si>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</si>
  <si>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</si>
  <si>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</si>
  <si>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</si>
  <si>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</si>
  <si>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</si>
  <si>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</si>
  <si>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</si>
  <si>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</si>
  <si>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</si>
  <si>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</si>
  <si>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</si>
  <si>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</si>
  <si>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</si>
  <si>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</si>
  <si>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</si>
  <si>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</si>
  <si>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</si>
  <si>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</si>
  <si>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</si>
  <si>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</si>
  <si>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</si>
  <si>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</si>
  <si>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</si>
  <si>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</si>
  <si>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</si>
  <si>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</si>
  <si>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</si>
  <si>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</si>
  <si>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</si>
  <si>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</si>
  <si>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</si>
  <si>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</si>
  <si>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</si>
  <si>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</si>
  <si>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</si>
  <si>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</si>
  <si>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</si>
  <si>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</si>
  <si>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</si>
  <si>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</si>
  <si>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</si>
  <si>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</si>
  <si>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</si>
  <si>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</si>
  <si>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</si>
  <si>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</si>
  <si>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</si>
  <si>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</si>
  <si>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</si>
  <si>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</si>
  <si>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</si>
  <si>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</si>
  <si>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</si>
  <si>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</si>
  <si>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</si>
  <si>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</si>
  <si>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</si>
  <si>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</si>
  <si>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</si>
  <si>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</si>
  <si>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</si>
  <si>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</si>
  <si>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</si>
  <si>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</si>
  <si>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</si>
  <si>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</si>
  <si>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</si>
  <si>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</si>
  <si>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</si>
  <si>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</si>
  <si>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</si>
  <si>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</si>
  <si>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</si>
  <si>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</si>
  <si>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</si>
  <si>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</si>
  <si>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</si>
  <si>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</si>
  <si>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</si>
  <si>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</si>
  <si>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</si>
  <si>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</si>
  <si>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</si>
  <si>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</si>
  <si>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</si>
  <si>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</si>
  <si>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</si>
  <si>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</si>
  <si>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</si>
  <si>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</si>
  <si>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</si>
  <si>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</si>
  <si>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</si>
  <si>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</si>
  <si>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</si>
  <si>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</si>
  <si>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</si>
  <si>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</si>
  <si>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</si>
  <si>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</si>
  <si>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</si>
  <si>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</si>
  <si>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</si>
  <si>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</si>
  <si>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</si>
  <si>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</si>
  <si>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</si>
  <si>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</si>
  <si>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</si>
  <si>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</si>
  <si>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</si>
  <si>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</si>
  <si>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</si>
  <si>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</si>
  <si>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</si>
  <si>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</si>
  <si>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</si>
  <si>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</si>
  <si>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</si>
  <si>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</si>
  <si>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</si>
  <si>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</si>
  <si>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</si>
  <si>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</si>
  <si>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</si>
  <si>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</si>
  <si>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</si>
  <si>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</si>
  <si>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</si>
  <si>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</si>
  <si>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</si>
  <si>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</si>
  <si>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</si>
  <si>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</si>
  <si>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</si>
  <si>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</si>
  <si>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</si>
  <si>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</si>
  <si>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</si>
  <si>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</si>
  <si>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</si>
  <si>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</si>
  <si>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</si>
  <si>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</si>
  <si>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</si>
  <si>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</si>
  <si>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</si>
  <si>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</si>
  <si>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</si>
  <si>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</si>
  <si>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</si>
  <si>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</si>
  <si>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</si>
  <si>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</si>
  <si>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</si>
  <si>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</si>
  <si>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</si>
  <si>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</si>
  <si>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</si>
  <si>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</si>
  <si>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</si>
  <si>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</si>
  <si>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</si>
  <si>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</si>
  <si>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</si>
  <si>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</si>
  <si>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</si>
  <si>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</si>
  <si>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</si>
  <si>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</si>
  <si>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</si>
  <si>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</si>
  <si>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</si>
  <si>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</si>
  <si>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</si>
  <si>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</si>
  <si>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</si>
  <si>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</si>
  <si>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</si>
  <si>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</si>
  <si>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</si>
  <si>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</si>
  <si>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</si>
  <si>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</si>
  <si>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</si>
  <si>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</si>
  <si>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</si>
  <si>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</si>
  <si>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</si>
  <si>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</si>
  <si>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</si>
  <si>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</si>
  <si>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</si>
  <si>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</si>
  <si>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</si>
  <si>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</si>
  <si>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</si>
  <si>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</si>
  <si>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</si>
  <si>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</si>
  <si>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</si>
  <si>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</si>
  <si>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</si>
  <si>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</si>
  <si>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</si>
  <si>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</si>
  <si>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</si>
  <si>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</si>
  <si>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</si>
  <si>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</si>
  <si>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</si>
  <si>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</si>
  <si>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</si>
  <si>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</si>
  <si>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</si>
  <si>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</si>
  <si>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</si>
  <si>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</si>
  <si>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</si>
  <si>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</si>
  <si>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</si>
  <si>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</si>
  <si>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</si>
  <si>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</si>
  <si>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</si>
  <si>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</si>
  <si>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</si>
  <si>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</si>
  <si>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</si>
  <si>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</si>
  <si>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</si>
  <si>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</si>
  <si>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</si>
  <si>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</si>
  <si>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</si>
  <si>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</si>
  <si>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</si>
  <si>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</si>
  <si>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</si>
  <si>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</si>
  <si>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</si>
  <si>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</si>
  <si>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</si>
  <si>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</si>
  <si>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</si>
  <si>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</si>
  <si>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</si>
  <si>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</si>
  <si>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</si>
  <si>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</si>
  <si>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</si>
  <si>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</si>
  <si>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</si>
  <si>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</si>
  <si>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</si>
  <si>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</si>
  <si>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</si>
  <si>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</si>
  <si>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</si>
  <si>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</si>
  <si>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</si>
  <si>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</si>
  <si>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</si>
  <si>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</si>
  <si>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</si>
  <si>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</si>
  <si>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</si>
  <si>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</si>
  <si>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</si>
  <si>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</si>
  <si>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</si>
  <si>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</si>
  <si>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</si>
  <si>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</si>
  <si>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</si>
  <si>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</si>
  <si>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</si>
  <si>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</si>
  <si>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</si>
  <si>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</si>
  <si>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</si>
  <si>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</si>
  <si>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</si>
  <si>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</si>
  <si>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</si>
  <si>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</si>
  <si>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</si>
  <si>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</si>
  <si>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</si>
  <si>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</si>
  <si>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</si>
  <si>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</si>
  <si>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</si>
  <si>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</si>
  <si>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</si>
  <si>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</si>
  <si>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</si>
  <si>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</si>
  <si>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</si>
  <si>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</si>
  <si>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</si>
  <si>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</si>
  <si>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</si>
  <si>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</si>
  <si>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</si>
  <si>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</si>
  <si>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</si>
  <si>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</si>
  <si>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</si>
  <si>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</si>
  <si>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</si>
  <si>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</si>
  <si>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</si>
  <si>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</si>
  <si>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</si>
  <si>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</si>
  <si>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</si>
  <si>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</si>
  <si>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</si>
  <si>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</si>
  <si>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</si>
  <si>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</si>
  <si>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</si>
  <si>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</si>
  <si>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</si>
  <si>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</si>
  <si>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</si>
  <si>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</si>
  <si>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</si>
  <si>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</si>
  <si>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</si>
  <si>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</si>
  <si>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</si>
  <si>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</si>
  <si>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</si>
  <si>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</si>
  <si>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</si>
  <si>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</si>
  <si>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</si>
  <si>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</si>
  <si>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</si>
  <si>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</si>
  <si>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</si>
  <si>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</si>
  <si>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</si>
  <si>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</si>
  <si>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</si>
  <si>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</si>
  <si>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</si>
  <si>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</si>
  <si>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</si>
  <si>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</si>
  <si>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</si>
  <si>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</si>
  <si>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</si>
  <si>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</si>
  <si>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</si>
  <si>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</si>
  <si>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</si>
  <si>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</si>
  <si>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</si>
  <si>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</si>
  <si>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</si>
  <si>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</si>
  <si>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</si>
  <si>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</si>
  <si>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</si>
  <si>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</si>
  <si>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</si>
  <si>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</si>
  <si>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</si>
  <si>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</si>
  <si>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</si>
  <si>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</si>
  <si>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</si>
  <si>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</si>
  <si>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</si>
  <si>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</si>
  <si>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</si>
  <si>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</si>
  <si>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</si>
  <si>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</si>
  <si>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</si>
  <si>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</si>
  <si>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</si>
  <si>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</si>
  <si>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</si>
  <si>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</si>
  <si>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</si>
  <si>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</si>
  <si>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</si>
  <si>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</si>
  <si>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</si>
  <si>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</si>
  <si>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</si>
  <si>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</si>
  <si>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</si>
  <si>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</si>
  <si>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</si>
  <si>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</si>
  <si>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</si>
  <si>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</si>
  <si>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</si>
  <si>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</si>
  <si>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</si>
  <si>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</si>
  <si>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</si>
  <si>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</si>
  <si>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</si>
  <si>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</si>
  <si>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</si>
  <si>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</si>
  <si>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</si>
  <si>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</si>
  <si>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</si>
  <si>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</si>
  <si>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</si>
  <si>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</si>
  <si>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</si>
  <si>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</si>
  <si>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</si>
  <si>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</si>
  <si>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</si>
  <si>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</si>
  <si>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</si>
  <si>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</si>
  <si>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</si>
  <si>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</si>
  <si>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</si>
  <si>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</si>
  <si>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</si>
  <si>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</si>
  <si>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</si>
  <si>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</si>
  <si>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</si>
  <si>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</si>
  <si>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</si>
  <si>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</si>
  <si>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</si>
  <si>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</si>
  <si>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</si>
  <si>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</si>
  <si>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</si>
  <si>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</si>
  <si>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</si>
  <si>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</si>
  <si>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</si>
  <si>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</si>
  <si>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</si>
  <si>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</si>
  <si>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</si>
  <si>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</si>
  <si>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</si>
  <si>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</si>
  <si>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</si>
  <si>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</si>
  <si>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</si>
  <si>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</si>
  <si>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</si>
  <si>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</si>
  <si>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</si>
  <si>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</si>
  <si>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</si>
  <si>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</si>
  <si>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</si>
  <si>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</si>
  <si>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</si>
  <si>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</si>
  <si>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</si>
  <si>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</si>
  <si>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</si>
  <si>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</si>
  <si>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</si>
  <si>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</si>
  <si>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</si>
  <si>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</si>
  <si>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</si>
  <si>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</si>
  <si>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</si>
  <si>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</si>
  <si>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</si>
  <si>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</si>
  <si>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</si>
  <si>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</si>
  <si>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</si>
  <si>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</si>
  <si>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</si>
  <si>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</si>
  <si>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</si>
  <si>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</si>
  <si>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</si>
  <si>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</si>
  <si>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</si>
  <si>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</si>
  <si>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</si>
  <si>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</si>
  <si>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</si>
  <si>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</si>
  <si>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</si>
  <si>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</si>
  <si>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</si>
  <si>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</si>
  <si>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</si>
  <si>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</si>
  <si>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</si>
  <si>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</si>
  <si>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</si>
  <si>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</si>
  <si>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</si>
  <si>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</si>
  <si>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</si>
  <si>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</si>
  <si>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</si>
  <si>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</si>
  <si>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</si>
  <si>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</si>
  <si>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</si>
  <si>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</si>
  <si>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</si>
  <si>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</si>
  <si>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</si>
  <si>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</si>
  <si>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</si>
  <si>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</si>
  <si>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</si>
  <si>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</si>
  <si>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</si>
  <si>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</si>
  <si>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</si>
  <si>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</si>
  <si>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</si>
  <si>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</si>
  <si>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</si>
  <si>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</si>
  <si>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</si>
  <si>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</si>
  <si>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</si>
  <si>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</si>
  <si>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</si>
  <si>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</si>
  <si>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</si>
  <si>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</si>
  <si>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</si>
  <si>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</si>
  <si>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</si>
  <si>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</si>
  <si>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</si>
  <si>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</si>
  <si>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</si>
  <si>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</si>
  <si>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</si>
  <si>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</si>
  <si>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</si>
  <si>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</si>
  <si>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</si>
  <si>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</si>
  <si>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</si>
  <si>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</si>
  <si>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</si>
  <si>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</si>
  <si>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</si>
  <si>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</si>
  <si>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</si>
  <si>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</si>
  <si>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</si>
  <si>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</si>
  <si>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</si>
  <si>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</si>
  <si>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</si>
  <si>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</si>
  <si>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</si>
  <si>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</si>
  <si>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</si>
  <si>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</si>
  <si>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</si>
  <si>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</si>
  <si>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</si>
  <si>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</si>
  <si>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</si>
  <si>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</si>
  <si>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</si>
  <si>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</si>
  <si>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</si>
  <si>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</si>
  <si>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</si>
  <si>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</si>
  <si>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</si>
  <si>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</si>
  <si>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</si>
  <si>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</si>
  <si>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</si>
  <si>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</si>
  <si>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</si>
  <si>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</si>
  <si>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</si>
  <si>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</si>
  <si>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</si>
  <si>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</si>
  <si>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</si>
  <si>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</si>
  <si>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</si>
  <si>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</si>
  <si>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</si>
  <si>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</si>
  <si>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</si>
  <si>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</si>
  <si>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</si>
  <si>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</si>
  <si>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</si>
  <si>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</si>
  <si>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</si>
  <si>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</si>
  <si>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</si>
  <si>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</si>
  <si>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</si>
  <si>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</si>
  <si>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</si>
  <si>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</si>
  <si>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</si>
  <si>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</si>
  <si>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</si>
  <si>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</si>
  <si>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</si>
  <si>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</si>
  <si>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</si>
  <si>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</si>
  <si>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</si>
  <si>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</si>
  <si>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</si>
  <si>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</si>
  <si>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</si>
  <si>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</si>
  <si>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</si>
  <si>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</si>
  <si>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</si>
  <si>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</si>
  <si>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</si>
  <si>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</si>
  <si>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</si>
  <si>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</si>
  <si>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</si>
  <si>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</si>
  <si>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</si>
  <si>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</si>
  <si>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</si>
  <si>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</si>
  <si>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</si>
  <si>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</si>
  <si>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</si>
  <si>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</si>
  <si>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</si>
  <si>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</si>
  <si>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</si>
  <si>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</si>
  <si>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</si>
  <si>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</si>
  <si>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</si>
  <si>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</si>
  <si>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</si>
  <si>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</si>
  <si>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</si>
  <si>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</si>
  <si>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</si>
  <si>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</si>
  <si>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</si>
  <si>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</si>
  <si>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</si>
  <si>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</si>
  <si>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</si>
  <si>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</si>
  <si>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</si>
  <si>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</si>
  <si>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</si>
  <si>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</si>
  <si>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</si>
  <si>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</si>
  <si>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</si>
  <si>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</si>
  <si>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</si>
  <si>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</si>
  <si>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</si>
  <si>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</si>
  <si>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</si>
  <si>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</si>
  <si>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</si>
  <si>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</si>
  <si>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</si>
  <si>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</si>
  <si>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</si>
  <si>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</si>
  <si>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</si>
  <si>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</si>
  <si>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</si>
  <si>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</si>
  <si>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</si>
  <si>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</si>
  <si>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</si>
  <si>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</si>
  <si>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</si>
  <si>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</si>
  <si>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</si>
  <si>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</si>
  <si>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</si>
  <si>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</si>
  <si>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</si>
  <si>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</si>
  <si>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</si>
  <si>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</si>
  <si>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</si>
  <si>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</si>
  <si>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</si>
  <si>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</si>
  <si>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</si>
  <si>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</si>
  <si>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</si>
  <si>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</si>
  <si>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</si>
  <si>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</si>
  <si>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</si>
  <si>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</si>
  <si>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</si>
  <si>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</si>
  <si>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</si>
  <si>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</si>
  <si>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</si>
  <si>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</si>
  <si>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</si>
  <si>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</si>
  <si>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</si>
  <si>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</si>
  <si>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</si>
  <si>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</si>
  <si>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</si>
  <si>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</si>
  <si>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</si>
  <si>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</si>
  <si>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</si>
  <si>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</si>
  <si>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</si>
  <si>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</si>
  <si>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</si>
  <si>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</si>
  <si>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</si>
  <si>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</si>
  <si>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</si>
  <si>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</si>
  <si>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</si>
  <si>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</si>
  <si>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</si>
  <si>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</si>
  <si>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</si>
  <si>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</si>
  <si>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</si>
  <si>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</si>
  <si>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</si>
  <si>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</si>
  <si>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</si>
  <si>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</si>
  <si>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</si>
  <si>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</si>
  <si>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</si>
  <si>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</si>
  <si>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</si>
  <si>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</si>
  <si>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</si>
  <si>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</si>
  <si>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</si>
  <si>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</si>
  <si>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</si>
  <si>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</si>
  <si>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</si>
  <si>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</si>
  <si>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</si>
  <si>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</si>
  <si>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</si>
  <si>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</si>
  <si>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</si>
  <si>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</si>
  <si>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</si>
  <si>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</si>
  <si>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</si>
  <si>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</si>
  <si>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</si>
  <si>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</si>
  <si>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</si>
  <si>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</si>
  <si>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</si>
  <si>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</si>
  <si>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</si>
  <si>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</si>
  <si>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</si>
  <si>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</si>
  <si>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</si>
  <si>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</si>
  <si>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</si>
  <si>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</si>
  <si>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</si>
  <si>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</si>
  <si>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</si>
  <si>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</si>
  <si>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</si>
  <si>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</si>
  <si>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</si>
  <si>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</si>
  <si>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</si>
  <si>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</si>
  <si>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</si>
  <si>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</si>
  <si>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</si>
  <si>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</si>
  <si>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</si>
  <si>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</si>
  <si>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</si>
  <si>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</si>
  <si>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</si>
  <si>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</si>
  <si>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</si>
  <si>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</si>
  <si>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</si>
  <si>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</si>
  <si>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</si>
  <si>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</si>
  <si>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</si>
  <si>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</si>
  <si>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</si>
  <si>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</si>
  <si>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</si>
  <si>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</si>
  <si>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</si>
  <si>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</si>
  <si>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</si>
  <si>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</si>
  <si>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</si>
  <si>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</si>
  <si>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</si>
  <si>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</si>
  <si>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</si>
  <si>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</si>
  <si>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</si>
  <si>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</si>
  <si>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</si>
  <si>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</si>
  <si>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</si>
  <si>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</si>
  <si>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</si>
  <si>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</si>
  <si>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</si>
  <si>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</si>
  <si>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</si>
  <si>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</si>
  <si>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</si>
  <si>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</si>
  <si>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</si>
  <si>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</si>
  <si>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</si>
  <si>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</si>
  <si>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</si>
  <si>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</si>
  <si>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</si>
  <si>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</si>
  <si>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</si>
  <si>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</si>
  <si>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</si>
  <si>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</si>
  <si>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</si>
  <si>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</si>
  <si>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</si>
  <si>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</si>
  <si>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</si>
  <si>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</si>
  <si>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</si>
  <si>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</si>
  <si>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</si>
  <si>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</si>
  <si>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</si>
  <si>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</si>
  <si>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</si>
  <si>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</si>
  <si>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</si>
  <si>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</si>
  <si>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</si>
  <si>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</si>
  <si>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</si>
  <si>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</si>
  <si>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</si>
  <si>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</si>
  <si>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</si>
  <si>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</si>
  <si>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</si>
  <si>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</si>
  <si>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</si>
  <si>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</si>
  <si>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</si>
  <si>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</si>
  <si>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</si>
  <si>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</si>
  <si>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</si>
  <si>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</si>
  <si>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</si>
  <si>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</si>
  <si>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</si>
  <si>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</si>
  <si>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</si>
  <si>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</si>
  <si>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</si>
  <si>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</si>
  <si>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</si>
  <si>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</si>
  <si>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</si>
  <si>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</si>
  <si>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</si>
  <si>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</si>
  <si>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</si>
  <si>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</si>
  <si>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</si>
  <si>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</si>
  <si>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</si>
  <si>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</si>
  <si>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</si>
  <si>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</si>
  <si>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</si>
  <si>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</si>
  <si>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</si>
  <si>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</si>
  <si>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</si>
  <si>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</si>
  <si>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</si>
  <si>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</si>
  <si>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</si>
  <si>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</si>
  <si>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</si>
  <si>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</si>
  <si>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</si>
  <si>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</si>
  <si>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</si>
  <si>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</si>
  <si>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</si>
  <si>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</si>
  <si>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</si>
  <si>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</si>
  <si>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</si>
  <si>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</si>
  <si>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</si>
  <si>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</si>
  <si>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</si>
  <si>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</si>
  <si>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</si>
  <si>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</si>
  <si>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</si>
  <si>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</si>
  <si>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</si>
  <si>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</si>
  <si>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</si>
  <si>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</si>
  <si>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</si>
  <si>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</si>
  <si>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</si>
  <si>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</si>
  <si>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</si>
  <si>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</si>
  <si>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</si>
  <si>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</si>
  <si>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</si>
  <si>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</si>
  <si>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</si>
  <si>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</si>
  <si>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</si>
  <si>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</si>
  <si>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</si>
  <si>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</si>
  <si>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</si>
  <si>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</si>
  <si>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</si>
  <si>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</si>
  <si>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</si>
  <si>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</si>
  <si>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</si>
  <si>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</si>
  <si>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</si>
  <si>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</si>
  <si>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</si>
  <si>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</si>
  <si>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</si>
  <si>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</si>
  <si>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</si>
  <si>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</si>
  <si>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</si>
  <si>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</si>
  <si>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</si>
  <si>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</si>
  <si>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</si>
  <si>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</si>
  <si>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</si>
  <si>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</si>
  <si>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</si>
  <si>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</si>
  <si>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</si>
  <si>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</si>
  <si>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</si>
  <si>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</si>
  <si>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</si>
  <si>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</si>
  <si>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</si>
  <si>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</si>
  <si>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</si>
  <si>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</si>
  <si>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</si>
  <si>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</si>
  <si>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</si>
  <si>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</si>
  <si>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</si>
  <si>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</si>
  <si>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</si>
  <si>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</si>
  <si>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</si>
  <si>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</si>
  <si>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</si>
  <si>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</si>
  <si>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</si>
  <si>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</si>
  <si>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</si>
  <si>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</si>
  <si>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</si>
  <si>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</si>
  <si>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</si>
  <si>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</si>
  <si>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</si>
  <si>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</si>
  <si>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</si>
  <si>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</si>
  <si>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</si>
  <si>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</si>
  <si>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</si>
  <si>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</si>
  <si>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</si>
  <si>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</si>
  <si>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</si>
  <si>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</si>
  <si>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</si>
  <si>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</si>
  <si>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</si>
  <si>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</si>
  <si>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</si>
  <si>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</si>
  <si>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</si>
  <si>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</si>
  <si>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</si>
  <si>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</si>
  <si>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</si>
  <si>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</si>
  <si>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</si>
  <si>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</si>
  <si>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</si>
  <si>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</si>
  <si>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</si>
  <si>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</si>
  <si>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</si>
  <si>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</si>
  <si>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</si>
  <si>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</si>
  <si>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</si>
  <si>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</si>
  <si>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</si>
  <si>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</si>
  <si>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</si>
  <si>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</si>
  <si>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</si>
  <si>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</si>
  <si>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</si>
  <si>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</si>
  <si>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</si>
  <si>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</si>
  <si>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</si>
  <si>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</si>
  <si>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</si>
  <si>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</si>
  <si>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</si>
  <si>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</si>
  <si>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</si>
  <si>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</si>
  <si>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</si>
  <si>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</si>
  <si>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</si>
  <si>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</si>
  <si>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</si>
  <si>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</si>
  <si>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</si>
  <si>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</si>
  <si>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</si>
  <si>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</si>
  <si>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</si>
  <si>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</si>
  <si>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</si>
  <si>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</si>
  <si>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</si>
  <si>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</si>
  <si>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</si>
  <si>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</si>
  <si>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</si>
  <si>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</si>
  <si>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</si>
  <si>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</si>
  <si>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</si>
  <si>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</si>
  <si>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</si>
  <si>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</si>
  <si>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</si>
  <si>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</si>
  <si>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</si>
  <si>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</si>
  <si>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</si>
  <si>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</si>
  <si>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</si>
  <si>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</si>
  <si>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</si>
  <si>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</si>
  <si>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</si>
  <si>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</si>
  <si>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</si>
  <si>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</si>
  <si>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</si>
  <si>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</si>
  <si>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</si>
  <si>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</si>
  <si>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</si>
  <si>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</si>
  <si>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</si>
  <si>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</si>
  <si>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</si>
  <si>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</si>
  <si>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</si>
  <si>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</si>
  <si>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</si>
  <si>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</si>
  <si>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</si>
  <si>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</si>
  <si>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</si>
  <si>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</si>
  <si>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</si>
  <si>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</si>
  <si>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</si>
  <si>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</si>
  <si>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</si>
  <si>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</si>
  <si>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</si>
  <si>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</si>
  <si>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</si>
  <si>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</si>
  <si>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</si>
  <si>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</si>
  <si>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</si>
  <si>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</si>
  <si>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</si>
  <si>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</si>
  <si>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</si>
  <si>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</si>
  <si>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</si>
  <si>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</si>
  <si>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</si>
  <si>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</si>
  <si>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</si>
  <si>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</si>
  <si>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</si>
  <si>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</si>
  <si>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</si>
  <si>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</si>
  <si>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</si>
  <si>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</si>
  <si>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</si>
  <si>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</si>
  <si>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</si>
  <si>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</si>
  <si>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</si>
  <si>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</si>
  <si>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</si>
  <si>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</si>
  <si>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</si>
  <si>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</si>
  <si>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</si>
  <si>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</si>
  <si>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</si>
  <si>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</si>
  <si>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</si>
  <si>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</si>
  <si>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</si>
  <si>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</si>
  <si>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</si>
  <si>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</si>
  <si>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</si>
  <si>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</si>
  <si>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</si>
  <si>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</si>
  <si>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</si>
  <si>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</si>
  <si>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</si>
  <si>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</si>
  <si>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</si>
  <si>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</si>
  <si>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</si>
  <si>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</si>
  <si>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</si>
  <si>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</si>
  <si>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</si>
  <si>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</si>
  <si>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</si>
  <si>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</si>
  <si>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</si>
  <si>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</si>
  <si>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</si>
  <si>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</si>
  <si>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</si>
  <si>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</si>
  <si>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</si>
  <si>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</si>
  <si>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</si>
  <si>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</si>
  <si>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</si>
  <si>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</si>
  <si>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</si>
  <si>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</si>
  <si>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</si>
  <si>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</si>
  <si>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</si>
  <si>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</si>
  <si>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</si>
  <si>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</si>
  <si>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</si>
  <si>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</si>
  <si>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</si>
  <si>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</si>
  <si>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</si>
  <si>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</si>
  <si>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</si>
  <si>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</si>
  <si>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</si>
  <si>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</si>
  <si>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</si>
  <si>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</si>
  <si>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</si>
  <si>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</si>
  <si>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</si>
  <si>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</si>
  <si>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</si>
  <si>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</si>
  <si>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</si>
  <si>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</si>
  <si>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</si>
  <si>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</si>
  <si>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</si>
  <si>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</si>
  <si>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</si>
  <si>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</si>
  <si>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</si>
  <si>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</si>
  <si>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</si>
  <si>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</si>
  <si>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</si>
  <si>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</si>
  <si>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</si>
  <si>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</si>
  <si>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</si>
  <si>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</si>
  <si>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</si>
  <si>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</si>
  <si>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</si>
  <si>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</si>
  <si>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</si>
  <si>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</si>
  <si>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</si>
  <si>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</si>
  <si>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</si>
  <si>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</si>
  <si>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</si>
  <si>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</si>
  <si>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</si>
  <si>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</si>
  <si>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</si>
  <si>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</si>
  <si>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</si>
  <si>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</si>
  <si>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</si>
  <si>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</si>
  <si>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</si>
  <si>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</si>
  <si>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</si>
  <si>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</si>
  <si>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</si>
  <si>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</si>
  <si>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</si>
  <si>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</si>
  <si>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</si>
  <si>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</si>
  <si>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</si>
  <si>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</si>
  <si>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</si>
  <si>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</si>
  <si>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</si>
  <si>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</si>
  <si>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</si>
  <si>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</si>
  <si>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</si>
  <si>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</si>
  <si>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</si>
  <si>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</si>
  <si>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</si>
  <si>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</si>
  <si>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</si>
  <si>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</si>
  <si>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</si>
  <si>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</si>
  <si>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</si>
  <si>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</si>
  <si>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</si>
  <si>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</si>
  <si>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</si>
  <si>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</si>
  <si>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</si>
  <si>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</si>
  <si>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</si>
  <si>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</si>
  <si>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</si>
  <si>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</si>
  <si>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</si>
  <si>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</si>
  <si>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</si>
  <si>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</si>
  <si>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</si>
  <si>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</si>
  <si>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</si>
  <si>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</si>
  <si>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</si>
  <si>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</si>
  <si>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</si>
  <si>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</si>
  <si>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</si>
  <si>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</si>
  <si>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</si>
  <si>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</si>
  <si>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</si>
  <si>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</si>
  <si>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</si>
  <si>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</si>
  <si>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</si>
  <si>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</si>
  <si>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</si>
  <si>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</si>
  <si>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</si>
  <si>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</si>
  <si>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</si>
  <si>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</si>
  <si>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</si>
  <si>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</si>
  <si>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</si>
  <si>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</si>
  <si>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</si>
  <si>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</si>
  <si>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</si>
  <si>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</si>
  <si>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</si>
  <si>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</si>
  <si>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</si>
  <si>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</si>
  <si>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</si>
  <si>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</si>
  <si>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</si>
  <si>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</si>
  <si>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</si>
  <si>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</si>
  <si>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</si>
  <si>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</si>
  <si>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</si>
  <si>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</si>
  <si>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</si>
  <si>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</si>
  <si>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</si>
  <si>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</si>
  <si>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</si>
  <si>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</si>
  <si>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</si>
  <si>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</si>
  <si>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</si>
  <si>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</si>
  <si>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</si>
  <si>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</si>
  <si>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</si>
  <si>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</si>
  <si>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</si>
  <si>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</si>
  <si>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</si>
  <si>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</si>
  <si>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</si>
  <si>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</si>
  <si>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</si>
  <si>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</si>
  <si>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</si>
  <si>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</si>
  <si>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</si>
  <si>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</si>
  <si>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</si>
  <si>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</si>
  <si>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</si>
  <si>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</si>
  <si>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</si>
  <si>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</si>
  <si>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</si>
  <si>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</si>
  <si>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</si>
  <si>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</si>
  <si>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</si>
  <si>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</si>
  <si>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</si>
  <si>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</si>
  <si>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</si>
  <si>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</si>
  <si>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</si>
  <si>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</si>
  <si>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</si>
  <si>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</si>
  <si>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</si>
  <si>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</si>
  <si>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</si>
  <si>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</si>
  <si>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</si>
  <si>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</si>
  <si>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</si>
  <si>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</si>
  <si>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</si>
  <si>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</si>
  <si>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</si>
  <si>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</si>
  <si>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</si>
  <si>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</si>
  <si>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</si>
  <si>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</si>
  <si>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</si>
  <si>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</si>
  <si>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</si>
  <si>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</si>
  <si>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</si>
  <si>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</si>
  <si>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</si>
  <si>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</si>
  <si>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</si>
  <si>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</si>
  <si>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</si>
  <si>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</si>
  <si>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</si>
  <si>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</si>
  <si>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</si>
  <si>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</si>
  <si>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</si>
  <si>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</si>
  <si>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</si>
  <si>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</si>
  <si>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</si>
  <si>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</si>
  <si>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</si>
  <si>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</si>
  <si>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</si>
  <si>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</si>
  <si>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</si>
  <si>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</si>
  <si>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</si>
  <si>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</si>
  <si>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</si>
  <si>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</si>
  <si>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</si>
  <si>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</si>
  <si>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</si>
  <si>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</si>
  <si>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</si>
  <si>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</si>
  <si>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</si>
  <si>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</si>
  <si>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</si>
  <si>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</si>
  <si>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</si>
  <si>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</si>
  <si>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</si>
  <si>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</si>
  <si>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</si>
  <si>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</si>
  <si>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</si>
  <si>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</si>
  <si>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</si>
  <si>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</si>
  <si>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</si>
  <si>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</si>
  <si>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</si>
  <si>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</si>
  <si>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</si>
  <si>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</si>
  <si>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</si>
  <si>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</si>
  <si>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</si>
  <si>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</si>
  <si>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</si>
  <si>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</si>
  <si>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</si>
  <si>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</si>
  <si>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</si>
  <si>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</si>
  <si>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</si>
  <si>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</si>
  <si>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</si>
  <si>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</si>
  <si>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</si>
  <si>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</si>
  <si>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</si>
  <si>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</si>
  <si>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</si>
  <si>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</si>
  <si>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</si>
  <si>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</si>
  <si>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</si>
  <si>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</si>
  <si>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</si>
  <si>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</si>
  <si>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</si>
  <si>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</si>
  <si>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</si>
  <si>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</si>
  <si>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</si>
  <si>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</si>
  <si>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</si>
  <si>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</si>
  <si>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</si>
  <si>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</si>
  <si>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</si>
  <si>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</si>
  <si>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</si>
  <si>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</si>
  <si>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</si>
  <si>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</si>
  <si>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</si>
  <si>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</si>
  <si>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</si>
  <si>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</si>
  <si>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</si>
  <si>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</si>
  <si>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</si>
  <si>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</si>
  <si>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</si>
  <si>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</si>
  <si>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</si>
  <si>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</si>
  <si>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</si>
  <si>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</si>
  <si>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</si>
  <si>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</si>
  <si>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</si>
  <si>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</si>
  <si>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</si>
  <si>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</si>
  <si>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</si>
  <si>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</si>
  <si>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</si>
  <si>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</si>
  <si>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</si>
  <si>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</si>
  <si>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</si>
  <si>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</si>
  <si>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</si>
  <si>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</si>
  <si>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</si>
  <si>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</si>
  <si>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</si>
  <si>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</si>
  <si>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</si>
  <si>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</si>
  <si>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</si>
  <si>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</si>
  <si>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</si>
  <si>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</si>
  <si>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</si>
  <si>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</si>
  <si>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</si>
  <si>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</si>
  <si>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</si>
  <si>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</si>
  <si>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</si>
  <si>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</si>
  <si>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</si>
  <si>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</si>
  <si>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</si>
  <si>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</si>
  <si>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</si>
  <si>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</si>
  <si>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</si>
  <si>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</si>
  <si>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</si>
  <si>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</si>
  <si>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</si>
  <si>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</si>
  <si>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</si>
  <si>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</si>
  <si>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</si>
  <si>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</si>
  <si>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</si>
  <si>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</si>
  <si>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</si>
  <si>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</si>
  <si>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</si>
  <si>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</si>
  <si>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</si>
  <si>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</si>
  <si>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</si>
  <si>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</si>
  <si>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</si>
  <si>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</si>
  <si>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</si>
  <si>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</si>
  <si>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</si>
  <si>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</si>
  <si>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</si>
  <si>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</si>
  <si>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</si>
  <si>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</si>
  <si>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</si>
  <si>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</si>
  <si>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</si>
  <si>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</si>
  <si>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</si>
  <si>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</si>
  <si>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</si>
  <si>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</si>
  <si>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</si>
  <si>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</si>
  <si>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</si>
  <si>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</si>
  <si>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</si>
  <si>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</si>
  <si>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</si>
  <si>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</si>
  <si>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</si>
  <si>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</si>
  <si>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</si>
  <si>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</si>
  <si>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</si>
  <si>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</si>
  <si>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</si>
  <si>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</si>
  <si>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</si>
  <si>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</si>
  <si>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</si>
  <si>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</si>
  <si>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</si>
  <si>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</si>
  <si>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</si>
  <si>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</si>
  <si>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</si>
  <si>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</si>
  <si>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</si>
  <si>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</si>
  <si>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</si>
  <si>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</si>
  <si>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</si>
  <si>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</si>
  <si>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</si>
  <si>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</si>
  <si>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</si>
  <si>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</si>
  <si>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</si>
  <si>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</si>
  <si>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</si>
  <si>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</si>
  <si>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</si>
  <si>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</si>
  <si>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</si>
  <si>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</si>
  <si>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</si>
  <si>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</si>
  <si>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</si>
  <si>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</si>
  <si>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</si>
  <si>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</si>
  <si>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</si>
  <si>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</si>
  <si>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</si>
  <si>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</si>
  <si>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</si>
  <si>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</si>
  <si>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</si>
  <si>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</si>
  <si>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</si>
  <si>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</si>
  <si>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</si>
  <si>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</si>
  <si>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</si>
  <si>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</si>
  <si>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</si>
  <si>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</si>
  <si>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</si>
  <si>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</si>
  <si>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</si>
  <si>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</si>
  <si>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</si>
  <si>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</si>
  <si>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</si>
  <si>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</si>
  <si>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</si>
  <si>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</si>
  <si>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</si>
  <si>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</si>
  <si>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</si>
  <si>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</si>
  <si>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</si>
  <si>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</si>
  <si>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</si>
  <si>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</si>
  <si>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</si>
  <si>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</si>
  <si>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</si>
  <si>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</si>
  <si>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</si>
  <si>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</si>
  <si>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</si>
  <si>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</si>
  <si>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</si>
  <si>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</si>
  <si>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</si>
  <si>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</si>
  <si>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</si>
  <si>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</si>
  <si>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</si>
  <si>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</si>
  <si>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</si>
  <si>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</si>
  <si>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</si>
  <si>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</si>
  <si>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</si>
  <si>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</si>
  <si>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</si>
  <si>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</si>
  <si>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</si>
  <si>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</si>
  <si>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</si>
  <si>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</si>
  <si>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</si>
  <si>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</si>
  <si>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</si>
  <si>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</si>
  <si>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</si>
  <si>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</si>
  <si>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</si>
  <si>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</si>
  <si>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</si>
  <si>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</si>
  <si>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</si>
  <si>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</si>
  <si>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</si>
  <si>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</si>
  <si>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</si>
  <si>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</si>
  <si>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</si>
  <si>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</si>
  <si>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</si>
  <si>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</si>
  <si>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</si>
  <si>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</si>
  <si>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</si>
  <si>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</si>
  <si>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</si>
  <si>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</si>
  <si>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</si>
  <si>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</si>
  <si>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</si>
  <si>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</si>
  <si>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</si>
  <si>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</si>
  <si>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</si>
  <si>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</si>
  <si>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</si>
  <si>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</si>
  <si>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</si>
  <si>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</si>
  <si>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</si>
  <si>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</si>
  <si>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</si>
  <si>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</si>
  <si>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</si>
  <si>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</si>
  <si>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</si>
  <si>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</si>
  <si>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</si>
  <si>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</si>
  <si>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</si>
  <si>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</si>
  <si>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</si>
  <si>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</si>
  <si>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</si>
  <si>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</si>
  <si>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</si>
  <si>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</si>
  <si>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</si>
  <si>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</si>
  <si>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</si>
  <si>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</si>
  <si>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</si>
  <si>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</si>
  <si>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</si>
  <si>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</si>
  <si>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</si>
  <si>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</si>
  <si>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</si>
  <si>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</si>
  <si>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</si>
  <si>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</si>
  <si>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</si>
  <si>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</si>
  <si>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</si>
  <si>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</si>
  <si>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</si>
  <si>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</si>
  <si>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</si>
  <si>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</si>
  <si>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</si>
  <si>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</si>
  <si>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</si>
  <si>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</si>
  <si>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</si>
  <si>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</si>
  <si>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</si>
  <si>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</si>
  <si>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</si>
  <si>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</si>
  <si>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</si>
  <si>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</si>
  <si>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</si>
  <si>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</si>
  <si>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</si>
  <si>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</si>
  <si>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</si>
  <si>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</si>
  <si>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</si>
  <si>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</si>
  <si>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</si>
  <si>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</si>
  <si>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</si>
  <si>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</si>
  <si>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</si>
  <si>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</si>
  <si>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</si>
  <si>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</si>
  <si>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</si>
  <si>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</si>
  <si>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</si>
  <si>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</si>
  <si>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</si>
  <si>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</si>
  <si>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</si>
  <si>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</si>
  <si>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</si>
  <si>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</si>
  <si>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</si>
  <si>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</si>
  <si>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</si>
  <si>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</si>
  <si>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</si>
  <si>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</si>
  <si>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</si>
  <si>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</si>
  <si>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</si>
  <si>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</si>
  <si>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</si>
  <si>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</si>
  <si>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</si>
  <si>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</si>
  <si>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</si>
  <si>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</si>
  <si>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</si>
  <si>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</si>
  <si>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</si>
  <si>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</si>
  <si>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</si>
  <si>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</si>
  <si>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</si>
  <si>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</si>
  <si>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</si>
  <si>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</si>
  <si>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</si>
  <si>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</si>
  <si>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</si>
  <si>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</si>
  <si>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</si>
  <si>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</si>
  <si>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</si>
  <si>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</si>
  <si>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</si>
  <si>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</si>
  <si>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</si>
  <si>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</si>
  <si>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</si>
  <si>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</si>
  <si>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</si>
  <si>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</si>
  <si>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</si>
  <si>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</si>
  <si>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</si>
  <si>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</si>
  <si>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</si>
  <si>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</si>
  <si>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</si>
  <si>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</si>
  <si>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</si>
  <si>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</si>
  <si>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</si>
  <si>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</si>
  <si>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</si>
  <si>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</si>
  <si>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</si>
  <si>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</si>
  <si>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</si>
  <si>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</si>
  <si>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</si>
  <si>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</si>
  <si>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</si>
  <si>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</si>
  <si>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</si>
  <si>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</si>
  <si>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</si>
  <si>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</si>
  <si>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</si>
  <si>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</si>
  <si>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</si>
  <si>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</si>
  <si>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</si>
  <si>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</si>
  <si>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</si>
  <si>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</si>
  <si>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</si>
  <si>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</si>
  <si>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</si>
  <si>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</si>
  <si>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</si>
  <si>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</si>
  <si>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</si>
  <si>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</si>
  <si>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</si>
  <si>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</si>
  <si>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</si>
  <si>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</si>
  <si>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</si>
  <si>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</si>
  <si>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</si>
  <si>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</si>
  <si>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</si>
  <si>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</si>
  <si>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</si>
  <si>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</si>
  <si>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</si>
  <si>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</si>
  <si>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</si>
  <si>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</si>
  <si>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</si>
  <si>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</si>
  <si>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</si>
  <si>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</si>
  <si>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</si>
  <si>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</si>
  <si>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</si>
  <si>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</si>
  <si>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</si>
  <si>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</si>
  <si>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</si>
  <si>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</si>
  <si>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</si>
  <si>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</si>
  <si>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</si>
  <si>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</si>
  <si>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</si>
  <si>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</si>
  <si>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</si>
  <si>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</si>
  <si>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</si>
  <si>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</si>
  <si>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</si>
  <si>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</si>
  <si>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</si>
  <si>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</si>
  <si>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</si>
  <si>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</si>
  <si>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</si>
  <si>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</si>
  <si>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</si>
  <si>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</si>
  <si>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</si>
  <si>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</si>
  <si>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</si>
  <si>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</si>
  <si>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</si>
  <si>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</si>
  <si>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</si>
  <si>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</si>
  <si>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</si>
  <si>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</si>
  <si>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</si>
  <si>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</si>
  <si>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</si>
  <si>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</si>
  <si>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</si>
  <si>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</si>
  <si>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</si>
  <si>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</si>
  <si>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</si>
  <si>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</si>
  <si>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</si>
  <si>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</si>
  <si>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</si>
  <si>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</si>
  <si>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</si>
  <si>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</si>
  <si>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</si>
  <si>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</si>
  <si>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</si>
  <si>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</si>
  <si>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</si>
  <si>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</si>
  <si>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</si>
  <si>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</si>
  <si>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</si>
  <si>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</si>
  <si>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</si>
  <si>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</si>
  <si>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</si>
  <si>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</si>
  <si>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</si>
  <si>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</si>
  <si>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</si>
  <si>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</si>
  <si>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</si>
  <si>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</si>
  <si>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</si>
  <si>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</si>
  <si>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</si>
  <si>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</si>
  <si>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</si>
  <si>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</si>
  <si>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</si>
  <si>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</si>
  <si>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</si>
  <si>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</si>
  <si>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</si>
  <si>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</si>
  <si>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</si>
  <si>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</si>
  <si>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</si>
  <si>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</si>
  <si>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</si>
  <si>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</si>
  <si>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</si>
  <si>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</si>
  <si>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</si>
  <si>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</si>
  <si>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</si>
  <si>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</si>
  <si>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</si>
  <si>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</si>
  <si>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</si>
  <si>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</si>
  <si>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</si>
  <si>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</si>
  <si>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</si>
  <si>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</si>
  <si>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</si>
  <si>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</si>
  <si>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</si>
  <si>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</si>
  <si>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</si>
  <si>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</si>
  <si>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</si>
  <si>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</si>
  <si>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</si>
  <si>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</si>
  <si>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</si>
  <si>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</si>
  <si>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</si>
  <si>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</si>
  <si>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</si>
  <si>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</si>
  <si>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</si>
  <si>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</si>
  <si>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</si>
  <si>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</si>
  <si>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</si>
  <si>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</si>
  <si>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</si>
  <si>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</si>
  <si>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</si>
  <si>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</si>
  <si>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</si>
  <si>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</si>
  <si>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</si>
  <si>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</si>
  <si>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</si>
  <si>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</si>
  <si>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</si>
  <si>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</si>
  <si>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</si>
  <si>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</si>
  <si>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</si>
  <si>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</si>
  <si>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</si>
  <si>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</si>
  <si>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</si>
  <si>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</si>
  <si>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</si>
  <si>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</si>
  <si>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</si>
  <si>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</si>
  <si>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</si>
  <si>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</si>
  <si>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</si>
  <si>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</si>
  <si>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</si>
  <si>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</si>
  <si>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</si>
  <si>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</si>
  <si>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</si>
  <si>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</si>
  <si>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</si>
  <si>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</si>
  <si>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</si>
  <si>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</si>
  <si>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</si>
  <si>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</si>
  <si>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</si>
  <si>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</si>
  <si>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</si>
  <si>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</si>
  <si>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</si>
  <si>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</si>
  <si>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</si>
  <si>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</si>
  <si>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</si>
  <si>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</si>
  <si>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</si>
  <si>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</si>
  <si>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</si>
  <si>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</si>
  <si>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</si>
  <si>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</si>
  <si>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</si>
  <si>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</si>
  <si>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</si>
  <si>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</si>
  <si>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</si>
  <si>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</si>
  <si>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</si>
  <si>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</si>
  <si>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</si>
  <si>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</si>
  <si>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</si>
  <si>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</si>
  <si>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</si>
  <si>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</si>
  <si>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</si>
  <si>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</si>
  <si>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</si>
  <si>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</si>
  <si>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</si>
  <si>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</si>
  <si>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</si>
  <si>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</si>
  <si>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</si>
  <si>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</si>
  <si>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</si>
  <si>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</si>
  <si>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</si>
  <si>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</si>
  <si>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</si>
  <si>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</si>
  <si>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</si>
  <si>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</si>
  <si>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</si>
  <si>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</si>
  <si>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</si>
  <si>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</si>
  <si>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</si>
  <si>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</si>
  <si>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</si>
  <si>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</si>
  <si>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</si>
  <si>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</si>
  <si>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</si>
  <si>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</si>
  <si>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</si>
  <si>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</si>
  <si>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</si>
  <si>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</si>
  <si>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</si>
  <si>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</si>
  <si>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</si>
  <si>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</si>
  <si>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</si>
  <si>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</si>
  <si>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</si>
  <si>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</si>
  <si>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</si>
  <si>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</si>
  <si>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</si>
  <si>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</si>
  <si>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</si>
  <si>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</si>
  <si>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</si>
  <si>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</si>
  <si>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</si>
  <si>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</si>
  <si>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</si>
  <si>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</si>
  <si>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</si>
  <si>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</si>
  <si>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</si>
  <si>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</si>
  <si>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</si>
  <si>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</si>
  <si>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</si>
  <si>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</si>
  <si>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</si>
  <si>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</si>
  <si>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</si>
  <si>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</si>
  <si>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</si>
  <si>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</si>
  <si>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</si>
  <si>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</si>
  <si>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</si>
  <si>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</si>
  <si>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</si>
  <si>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</si>
  <si>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</si>
  <si>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</si>
  <si>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</si>
  <si>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</si>
  <si>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</si>
  <si>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</si>
  <si>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</si>
  <si>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</si>
  <si>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</si>
  <si>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</si>
  <si>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</si>
  <si>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</si>
  <si>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</si>
  <si>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</si>
  <si>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</si>
  <si>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</si>
  <si>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</si>
  <si>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</si>
  <si>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</si>
  <si>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</si>
  <si>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</si>
  <si>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</si>
  <si>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</si>
  <si>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</si>
  <si>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</si>
  <si>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</si>
  <si>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</si>
  <si>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</si>
  <si>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</si>
  <si>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</si>
  <si>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</si>
  <si>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</si>
  <si>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</si>
  <si>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</si>
  <si>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</si>
  <si>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</si>
  <si>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</si>
  <si>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</si>
  <si>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</si>
  <si>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</si>
  <si>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</si>
  <si>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</si>
  <si>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</si>
  <si>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</si>
  <si>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</si>
  <si>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</si>
  <si>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</si>
  <si>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</si>
  <si>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</si>
  <si>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</si>
  <si>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</si>
  <si>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</si>
  <si>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</si>
  <si>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</si>
  <si>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</si>
  <si>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</si>
  <si>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</si>
  <si>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</si>
  <si>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</si>
  <si>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</si>
  <si>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</si>
  <si>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</si>
  <si>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</si>
  <si>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</si>
  <si>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</si>
  <si>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</si>
  <si>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</si>
  <si>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</si>
  <si>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</si>
  <si>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</si>
  <si>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</si>
  <si>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</si>
  <si>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</si>
  <si>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</si>
  <si>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</si>
  <si>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</si>
  <si>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</si>
  <si>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</si>
  <si>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</si>
  <si>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</si>
  <si>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</si>
  <si>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</si>
  <si>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</si>
  <si>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</si>
  <si>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</si>
  <si>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</si>
  <si>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</si>
  <si>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</si>
  <si>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</si>
  <si>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</si>
  <si>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</si>
  <si>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</si>
  <si>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</si>
  <si>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</si>
  <si>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</si>
  <si>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</si>
  <si>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</si>
  <si>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</si>
  <si>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</si>
  <si>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</si>
  <si>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</si>
  <si>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</si>
  <si>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</si>
  <si>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</si>
  <si>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</si>
  <si>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</si>
  <si>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</si>
  <si>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</si>
  <si>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</si>
  <si>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</si>
  <si>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</si>
  <si>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</si>
  <si>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</si>
  <si>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</si>
  <si>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</si>
  <si>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</si>
  <si>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</si>
  <si>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</si>
  <si>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</si>
  <si>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</si>
  <si>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</si>
  <si>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</si>
  <si>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</si>
  <si>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</si>
  <si>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</si>
  <si>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</si>
  <si>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</si>
  <si>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</si>
  <si>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</si>
  <si>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</si>
  <si>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</si>
  <si>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</si>
  <si>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</si>
  <si>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</si>
  <si>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</si>
  <si>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</si>
  <si>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</si>
  <si>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</si>
  <si>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</si>
  <si>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</si>
  <si>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</si>
  <si>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</si>
  <si>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</si>
  <si>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</si>
  <si>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</si>
  <si>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</si>
  <si>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</si>
  <si>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</si>
  <si>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</si>
  <si>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</si>
  <si>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</si>
  <si>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</si>
  <si>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</si>
  <si>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</si>
  <si>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</si>
  <si>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</si>
  <si>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</si>
  <si>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</si>
  <si>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</si>
  <si>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</si>
  <si>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</si>
  <si>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</si>
  <si>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</si>
  <si>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</si>
  <si>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</si>
  <si>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</si>
  <si>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</si>
  <si>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</si>
  <si>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</si>
  <si>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</si>
  <si>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</si>
  <si>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</si>
  <si>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</si>
  <si>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</si>
  <si>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</si>
  <si>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</si>
  <si>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</si>
  <si>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</si>
  <si>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</si>
  <si>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</si>
  <si>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</si>
  <si>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</si>
  <si>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</si>
  <si>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</si>
  <si>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</si>
  <si>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</si>
  <si>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</si>
  <si>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</si>
  <si>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</si>
  <si>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</si>
  <si>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</si>
  <si>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</si>
  <si>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</si>
  <si>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</si>
  <si>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</si>
  <si>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</si>
  <si>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</si>
  <si>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</si>
  <si>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</si>
  <si>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</si>
  <si>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</si>
  <si>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</si>
  <si>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</si>
  <si>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</si>
  <si>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</si>
  <si>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</si>
  <si>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</si>
  <si>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</si>
  <si>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</si>
  <si>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</si>
  <si>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</si>
  <si>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</si>
  <si>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</si>
  <si>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</si>
  <si>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</si>
  <si>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</si>
  <si>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</si>
  <si>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</si>
  <si>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</si>
  <si>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</si>
  <si>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</si>
  <si>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</si>
  <si>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</si>
  <si>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</si>
  <si>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</si>
  <si>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</si>
  <si>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</si>
  <si>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</si>
  <si>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</si>
  <si>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</si>
  <si>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</si>
  <si>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</si>
  <si>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</si>
  <si>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</si>
  <si>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</si>
  <si>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</si>
  <si>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</si>
  <si>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</si>
  <si>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</si>
  <si>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</si>
  <si>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</si>
  <si>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</si>
  <si>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</si>
  <si>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</si>
  <si>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</si>
  <si>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</si>
  <si>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</si>
  <si>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</si>
  <si>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</si>
  <si>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</si>
  <si>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</si>
  <si>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</si>
  <si>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</si>
  <si>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</si>
  <si>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</si>
  <si>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</si>
  <si>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</si>
  <si>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</si>
  <si>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</si>
  <si>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</si>
  <si>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</si>
  <si>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</si>
  <si>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</si>
  <si>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</si>
  <si>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</si>
  <si>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</si>
  <si>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</si>
  <si>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</si>
  <si>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</si>
  <si>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</si>
  <si>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</si>
  <si>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</si>
  <si>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</si>
  <si>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</si>
  <si>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</si>
  <si>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</si>
  <si>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</si>
  <si>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</si>
  <si>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</si>
  <si>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</si>
  <si>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</si>
  <si>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</si>
  <si>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</si>
  <si>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</si>
  <si>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</si>
  <si>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</si>
  <si>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</si>
  <si>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</si>
  <si>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</si>
  <si>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</si>
  <si>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</si>
  <si>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</si>
  <si>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</si>
  <si>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</si>
  <si>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</si>
  <si>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</si>
  <si>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</si>
  <si>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</si>
  <si>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</si>
  <si>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</si>
  <si>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</si>
  <si>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</si>
  <si>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</si>
  <si>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</si>
  <si>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</si>
  <si>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</si>
  <si>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</si>
  <si>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</si>
  <si>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</si>
  <si>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</si>
  <si>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</si>
  <si>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</si>
  <si>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</si>
  <si>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</si>
  <si>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</si>
  <si>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</si>
  <si>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</si>
  <si>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</si>
  <si>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</si>
  <si>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</si>
  <si>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</si>
  <si>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</si>
  <si>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</si>
  <si>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</si>
  <si>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</si>
  <si>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</si>
  <si>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</si>
  <si>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</si>
  <si>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</si>
  <si>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</si>
  <si>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</si>
  <si>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</si>
  <si>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</si>
  <si>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</si>
  <si>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</si>
  <si>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</si>
  <si>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</si>
  <si>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</si>
  <si>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</si>
  <si>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</si>
  <si>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</si>
  <si>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</si>
  <si>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</si>
  <si>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</si>
  <si>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</si>
  <si>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</si>
  <si>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</si>
  <si>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</si>
  <si>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</si>
  <si>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</si>
  <si>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</si>
  <si>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</si>
  <si>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</si>
  <si>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</si>
  <si>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</si>
  <si>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</si>
  <si>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</si>
  <si>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</si>
  <si>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</si>
  <si>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</si>
  <si>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</si>
  <si>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</si>
  <si>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</si>
  <si>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</si>
  <si>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</si>
  <si>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</si>
  <si>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</si>
  <si>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</si>
  <si>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</si>
  <si>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</si>
  <si>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</si>
  <si>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</si>
  <si>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</si>
  <si>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</si>
  <si>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</si>
  <si>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</si>
  <si>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</si>
  <si>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</si>
  <si>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</si>
  <si>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</si>
  <si>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</si>
  <si>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</si>
  <si>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</si>
  <si>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</si>
  <si>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</si>
  <si>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</si>
  <si>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</si>
  <si>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</si>
  <si>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</si>
  <si>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</si>
  <si>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</si>
  <si>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</si>
  <si>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</si>
  <si>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</si>
  <si>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</si>
  <si>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</si>
  <si>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</si>
  <si>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</si>
  <si>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</si>
  <si>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</si>
  <si>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</si>
  <si>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</si>
  <si>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</si>
  <si>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</si>
  <si>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</si>
  <si>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</si>
  <si>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</si>
  <si>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</si>
  <si>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</si>
  <si>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</si>
  <si>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</si>
  <si>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</si>
  <si>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</si>
  <si>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</si>
  <si>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</si>
  <si>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</si>
  <si>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</si>
  <si>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</si>
  <si>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</si>
  <si>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</si>
  <si>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</si>
  <si>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</si>
  <si>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</si>
  <si>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</si>
  <si>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</si>
  <si>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</si>
  <si>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</si>
  <si>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</si>
  <si>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</si>
  <si>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</si>
  <si>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</si>
  <si>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</si>
  <si>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</si>
  <si>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</si>
  <si>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</si>
  <si>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</si>
  <si>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</si>
  <si>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</si>
  <si>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</si>
  <si>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</si>
  <si>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</si>
  <si>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</si>
  <si>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</si>
  <si>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</si>
  <si>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</si>
  <si>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</si>
  <si>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</si>
  <si>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</si>
  <si>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</si>
  <si>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</si>
  <si>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</si>
  <si>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</si>
  <si>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</si>
  <si>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</si>
  <si>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</si>
  <si>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</si>
  <si>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</si>
  <si>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</si>
  <si>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</si>
  <si>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</si>
  <si>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</si>
  <si>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</si>
  <si>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</si>
  <si>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</si>
  <si>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</si>
  <si>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</si>
  <si>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</si>
  <si>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</si>
  <si>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</si>
  <si>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</si>
  <si>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</si>
  <si>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</si>
  <si>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</si>
  <si>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</si>
  <si>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</si>
  <si>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</si>
  <si>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</si>
  <si>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</si>
  <si>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</si>
  <si>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</si>
  <si>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</si>
  <si>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</si>
  <si>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</si>
  <si>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</si>
  <si>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</si>
  <si>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</si>
  <si>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</si>
  <si>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</si>
  <si>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</si>
  <si>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</si>
  <si>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</si>
  <si>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</si>
  <si>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</si>
  <si>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</si>
  <si>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</si>
  <si>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</si>
  <si>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</si>
  <si>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</si>
  <si>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</si>
  <si>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</si>
  <si>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</si>
  <si>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</si>
  <si>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</si>
  <si>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</si>
  <si>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</si>
  <si>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</si>
  <si>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</si>
  <si>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</si>
  <si>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</si>
  <si>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</si>
  <si>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</si>
  <si>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</si>
  <si>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</si>
  <si>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</si>
  <si>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</si>
  <si>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</si>
  <si>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</si>
  <si>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</si>
  <si>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</si>
  <si>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</si>
  <si>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</si>
  <si>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</si>
  <si>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</si>
  <si>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</si>
  <si>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</si>
  <si>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</si>
  <si>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</si>
  <si>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</si>
  <si>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</si>
  <si>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</si>
  <si>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</si>
  <si>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</si>
  <si>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</si>
  <si>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</si>
  <si>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</si>
  <si>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</si>
  <si>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</si>
  <si>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</si>
  <si>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</si>
  <si>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</si>
  <si>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</si>
  <si>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</si>
  <si>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</si>
  <si>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</si>
  <si>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</si>
  <si>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</si>
  <si>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</si>
  <si>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</si>
  <si>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</si>
  <si>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</si>
  <si>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</si>
  <si>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</si>
  <si>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</si>
  <si>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</si>
  <si>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</si>
  <si>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</si>
  <si>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</si>
  <si>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</si>
  <si>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</si>
  <si>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</si>
  <si>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</si>
  <si>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</si>
  <si>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</si>
  <si>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</si>
  <si>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</si>
  <si>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</si>
  <si>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</si>
  <si>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</si>
  <si>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</si>
  <si>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</si>
  <si>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</si>
  <si>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</si>
  <si>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</si>
  <si>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</si>
  <si>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</si>
  <si>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</si>
  <si>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</si>
  <si>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</si>
  <si>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</si>
  <si>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</si>
  <si>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</si>
  <si>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</si>
  <si>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</si>
  <si>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</si>
  <si>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</si>
  <si>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</si>
  <si>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</si>
  <si>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</si>
  <si>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</si>
  <si>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</si>
  <si>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</si>
  <si>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</si>
  <si>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</si>
  <si>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</si>
  <si>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</si>
  <si>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</si>
  <si>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</si>
  <si>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</si>
  <si>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</si>
  <si>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</si>
  <si>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</si>
  <si>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</si>
  <si>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</si>
  <si>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</si>
  <si>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</si>
  <si>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</si>
  <si>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</si>
  <si>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</si>
  <si>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</si>
  <si>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</si>
  <si>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</si>
  <si>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</si>
  <si>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</si>
  <si>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</si>
  <si>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</si>
  <si>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</si>
  <si>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</si>
  <si>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</si>
  <si>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</si>
  <si>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</si>
  <si>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</si>
  <si>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</si>
  <si>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</si>
  <si>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</si>
  <si>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</si>
  <si>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</si>
  <si>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</si>
  <si>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</si>
  <si>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</si>
  <si>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</si>
  <si>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</si>
  <si>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</si>
  <si>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</si>
  <si>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</si>
  <si>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</si>
  <si>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</si>
  <si>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</si>
  <si>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</si>
  <si>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</si>
  <si>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</si>
  <si>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</si>
  <si>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</si>
  <si>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</si>
  <si>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</si>
  <si>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</si>
  <si>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</si>
  <si>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</si>
  <si>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</si>
  <si>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</si>
  <si>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</si>
  <si>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</si>
  <si>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</si>
  <si>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</si>
  <si>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</si>
  <si>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</si>
  <si>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</si>
  <si>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</si>
  <si>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</si>
  <si>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</si>
  <si>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</si>
  <si>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</si>
  <si>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</si>
  <si>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</si>
  <si>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</si>
  <si>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</si>
  <si>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</si>
  <si>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</si>
  <si>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</si>
  <si>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</si>
  <si>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</si>
  <si>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</si>
  <si>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</si>
  <si>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</si>
  <si>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</si>
  <si>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</si>
  <si>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</si>
  <si>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</si>
  <si>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</si>
  <si>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</si>
  <si>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</si>
  <si>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</si>
  <si>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</si>
  <si>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</si>
  <si>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</si>
  <si>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</si>
  <si>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</si>
  <si>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</si>
  <si>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</si>
  <si>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</si>
  <si>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</si>
  <si>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</si>
  <si>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</si>
  <si>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</si>
  <si>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</si>
  <si>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</si>
  <si>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</si>
  <si>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</si>
  <si>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</si>
  <si>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</si>
  <si>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</si>
  <si>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</si>
  <si>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</si>
  <si>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</si>
  <si>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</si>
  <si>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</si>
  <si>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</si>
  <si>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</si>
  <si>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</si>
  <si>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</si>
  <si>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</si>
  <si>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</si>
  <si>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</si>
  <si>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</si>
  <si>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</si>
  <si>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</si>
  <si>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</si>
  <si>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</si>
  <si>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</si>
  <si>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</si>
  <si>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</si>
  <si>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</si>
  <si>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</si>
  <si>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</si>
  <si>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</si>
  <si>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</si>
  <si>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</si>
  <si>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</si>
  <si>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</si>
  <si>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</si>
  <si>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</si>
  <si>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</si>
  <si>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</si>
  <si>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</si>
  <si>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</si>
  <si>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</si>
  <si>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</si>
  <si>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</si>
  <si>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</si>
  <si>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</si>
  <si>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</si>
  <si>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</si>
  <si>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</si>
  <si>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</si>
  <si>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</si>
  <si>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</si>
  <si>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</si>
  <si>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</si>
  <si>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</si>
  <si>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</si>
  <si>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</si>
  <si>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</si>
  <si>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</si>
  <si>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</si>
  <si>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</si>
  <si>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</si>
  <si>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</si>
  <si>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</si>
  <si>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</si>
  <si>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</si>
  <si>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</si>
  <si>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</si>
  <si>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</si>
  <si>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</si>
  <si>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</si>
  <si>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</si>
  <si>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</si>
  <si>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</si>
  <si>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</si>
  <si>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</si>
  <si>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</si>
  <si>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</si>
  <si>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</si>
  <si>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</si>
  <si>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</si>
  <si>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</si>
  <si>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</si>
  <si>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</si>
  <si>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</si>
  <si>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</si>
  <si>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</si>
  <si>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</si>
  <si>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</si>
  <si>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</si>
  <si>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</si>
  <si>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</si>
  <si>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</si>
  <si>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</si>
  <si>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</si>
  <si>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</si>
  <si>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</si>
  <si>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</si>
  <si>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</si>
  <si>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</si>
  <si>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</si>
  <si>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</si>
  <si>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</si>
  <si>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</si>
  <si>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</si>
  <si>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</si>
  <si>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</si>
  <si>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</si>
  <si>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</si>
  <si>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</si>
  <si>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</si>
  <si>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</si>
  <si>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</si>
  <si>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</si>
  <si>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</si>
  <si>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</si>
  <si>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</si>
  <si>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</si>
  <si>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</si>
  <si>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</si>
  <si>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</si>
  <si>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</si>
  <si>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</si>
  <si>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</si>
  <si>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</si>
  <si>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</si>
  <si>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</si>
  <si>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</si>
  <si>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</si>
  <si>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</si>
  <si>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</si>
  <si>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</si>
  <si>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</si>
  <si>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</si>
  <si>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</si>
  <si>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</si>
  <si>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</si>
  <si>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</si>
  <si>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</si>
  <si>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</si>
  <si>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</si>
  <si>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</si>
  <si>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</si>
  <si>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</si>
  <si>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</si>
  <si>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</si>
  <si>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</si>
  <si>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</si>
  <si>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</si>
  <si>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</si>
  <si>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</si>
  <si>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</si>
  <si>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</si>
  <si>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</si>
  <si>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</si>
  <si>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</si>
  <si>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</si>
  <si>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</si>
  <si>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</si>
  <si>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</si>
  <si>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</si>
  <si>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</si>
  <si>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</si>
  <si>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</si>
  <si>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</si>
  <si>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</si>
  <si>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</si>
  <si>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</si>
  <si>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</si>
  <si>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</si>
  <si>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</si>
  <si>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</si>
  <si>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</si>
  <si>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</si>
  <si>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</si>
  <si>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</si>
  <si>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</si>
  <si>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</si>
  <si>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</si>
  <si>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</si>
  <si>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</si>
  <si>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</si>
  <si>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</si>
  <si>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</si>
  <si>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</si>
  <si>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</si>
  <si>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</si>
  <si>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</si>
  <si>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</si>
  <si>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</si>
  <si>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</si>
  <si>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</si>
  <si>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</si>
  <si>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</si>
  <si>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</si>
  <si>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</si>
  <si>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</si>
  <si>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</si>
  <si>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</si>
  <si>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</si>
  <si>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</si>
  <si>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</si>
  <si>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</si>
  <si>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</si>
  <si>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</si>
  <si>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</si>
  <si>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</si>
  <si>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</si>
  <si>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</si>
  <si>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</si>
  <si>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</si>
  <si>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</si>
  <si>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</si>
  <si>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</si>
  <si>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</si>
  <si>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</si>
  <si>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</si>
  <si>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</si>
  <si>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</si>
  <si>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</si>
  <si>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</si>
  <si>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</si>
  <si>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</si>
  <si>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</si>
  <si>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</si>
  <si>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</si>
  <si>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</si>
  <si>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</si>
  <si>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</si>
  <si>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</si>
  <si>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</si>
  <si>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</si>
  <si>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</si>
  <si>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</si>
  <si>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</si>
  <si>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</si>
  <si>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</si>
  <si>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</si>
  <si>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</si>
  <si>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</si>
  <si>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</si>
  <si>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</si>
  <si>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</si>
  <si>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</si>
  <si>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</si>
  <si>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</si>
  <si>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</si>
  <si>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</si>
  <si>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</si>
  <si>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</si>
  <si>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</si>
  <si>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</si>
  <si>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</si>
  <si>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</si>
  <si>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</si>
  <si>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</si>
  <si>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</si>
  <si>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</si>
  <si>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</si>
  <si>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</si>
  <si>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</si>
  <si>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</si>
  <si>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</si>
  <si>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</si>
  <si>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</si>
  <si>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</si>
  <si>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</si>
  <si>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</si>
  <si>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</si>
  <si>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</si>
  <si>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</si>
  <si>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</si>
  <si>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</si>
  <si>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</si>
  <si>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</si>
  <si>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</si>
  <si>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</si>
  <si>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</si>
  <si>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</si>
  <si>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</si>
  <si>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</si>
  <si>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</si>
  <si>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</si>
  <si>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</si>
  <si>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</si>
  <si>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</si>
  <si>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</si>
  <si>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</si>
  <si>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</si>
  <si>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</si>
  <si>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</si>
  <si>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</si>
  <si>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</si>
  <si>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</si>
  <si>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</si>
  <si>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</si>
  <si>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</si>
  <si>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</si>
  <si>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</si>
  <si>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</si>
  <si>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</si>
  <si>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</si>
  <si>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</si>
  <si>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</si>
  <si>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</si>
  <si>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</si>
  <si>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</si>
  <si>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</si>
  <si>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</si>
  <si>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</si>
  <si>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</si>
  <si>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</si>
  <si>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</si>
  <si>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</si>
  <si>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</si>
  <si>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</si>
  <si>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</si>
  <si>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</si>
  <si>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</si>
  <si>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</si>
  <si>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</si>
  <si>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</si>
  <si>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</si>
  <si>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</si>
  <si>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</si>
  <si>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</si>
  <si>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</si>
  <si>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</si>
  <si>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</si>
  <si>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</si>
  <si>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</si>
  <si>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</si>
  <si>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</si>
  <si>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</si>
  <si>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</si>
  <si>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</si>
  <si>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</si>
  <si>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</si>
  <si>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</si>
  <si>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</si>
  <si>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</si>
  <si>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</si>
  <si>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</si>
  <si>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</si>
  <si>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</si>
  <si>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</si>
  <si>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</si>
  <si>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</si>
  <si>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</si>
  <si>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</si>
  <si>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</si>
  <si>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</si>
  <si>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</si>
  <si>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</si>
  <si>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</si>
  <si>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</si>
  <si>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</si>
  <si>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</si>
  <si>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</si>
  <si>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</si>
  <si>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</si>
  <si>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</si>
  <si>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</si>
  <si>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</si>
  <si>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</si>
  <si>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</si>
  <si>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</si>
  <si>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</si>
  <si>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</si>
  <si>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</si>
  <si>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</si>
  <si>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</si>
  <si>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</si>
  <si>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</si>
  <si>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</si>
  <si>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</si>
  <si>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</si>
  <si>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</si>
  <si>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</si>
  <si>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</si>
  <si>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</si>
  <si>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</si>
  <si>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</si>
  <si>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</si>
  <si>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</si>
  <si>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</si>
  <si>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</si>
  <si>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</si>
  <si>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</si>
  <si>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</si>
  <si>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</si>
  <si>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</si>
  <si>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</si>
  <si>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</si>
  <si>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</si>
  <si>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</si>
  <si>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</si>
  <si>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</si>
  <si>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</si>
  <si>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</si>
  <si>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</si>
  <si>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</si>
  <si>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</si>
  <si>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</si>
  <si>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</si>
  <si>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</si>
  <si>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</si>
  <si>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</si>
  <si>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</si>
  <si>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</si>
  <si>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</si>
  <si>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</si>
  <si>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</si>
  <si>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</si>
  <si>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</si>
  <si>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</si>
  <si>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</si>
  <si>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</si>
  <si>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</si>
  <si>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</si>
  <si>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</si>
  <si>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</si>
  <si>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</si>
  <si>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</si>
  <si>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</si>
  <si>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</si>
  <si>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</si>
  <si>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</si>
  <si>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</si>
  <si>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</si>
  <si>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</si>
  <si>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</si>
  <si>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</si>
  <si>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</si>
  <si>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</si>
  <si>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</si>
  <si>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</si>
  <si>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</si>
  <si>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</si>
  <si>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</si>
  <si>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</si>
  <si>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</si>
  <si>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</si>
  <si>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</si>
  <si>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</si>
  <si>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</si>
  <si>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</si>
  <si>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</si>
  <si>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</si>
  <si>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</si>
  <si>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</si>
  <si>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</si>
  <si>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</si>
  <si>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</si>
  <si>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</si>
  <si>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</si>
  <si>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</si>
  <si>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</si>
  <si>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</si>
  <si>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</si>
  <si>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</si>
  <si>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</si>
  <si>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</si>
  <si>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</si>
  <si>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</si>
  <si>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</si>
  <si>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</si>
  <si>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</si>
  <si>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</si>
  <si>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</si>
  <si>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</si>
  <si>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</si>
  <si>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</si>
  <si>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</si>
  <si>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</si>
  <si>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</si>
  <si>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</si>
  <si>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</si>
  <si>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</si>
  <si>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</si>
  <si>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</si>
  <si>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</si>
  <si>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</si>
  <si>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</si>
  <si>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</si>
  <si>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</si>
  <si>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</si>
  <si>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</si>
  <si>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</si>
  <si>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</si>
  <si>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</si>
  <si>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</si>
  <si>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</si>
  <si>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</si>
  <si>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</si>
  <si>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</si>
  <si>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</si>
  <si>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</si>
  <si>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</si>
  <si>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</si>
  <si>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</si>
  <si>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</si>
  <si>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</si>
  <si>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</si>
  <si>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</si>
  <si>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</si>
  <si>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</si>
  <si>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</si>
  <si>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</si>
  <si>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</si>
  <si>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</si>
  <si>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</si>
  <si>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</si>
  <si>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</si>
  <si>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</si>
  <si>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</si>
  <si>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</si>
  <si>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</si>
  <si>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</si>
  <si>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</si>
  <si>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</si>
  <si>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</si>
  <si>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</si>
  <si>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</si>
  <si>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</si>
  <si>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</si>
  <si>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</si>
  <si>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</si>
  <si>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</si>
  <si>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</si>
  <si>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</si>
  <si>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</si>
  <si>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</si>
  <si>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</si>
  <si>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</si>
  <si>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</si>
  <si>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</si>
  <si>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</si>
  <si>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</si>
  <si>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</si>
  <si>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</si>
  <si>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</si>
  <si>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</si>
  <si>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</si>
  <si>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</si>
  <si>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</si>
  <si>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</si>
  <si>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</si>
  <si>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</si>
  <si>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</si>
  <si>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</si>
  <si>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</si>
  <si>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</si>
  <si>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</si>
  <si>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</si>
  <si>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</si>
  <si>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</si>
  <si>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</si>
  <si>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</si>
  <si>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</si>
  <si>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</si>
  <si>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</si>
  <si>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</si>
  <si>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</si>
  <si>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</si>
  <si>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</si>
  <si>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</si>
  <si>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</si>
  <si>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</si>
  <si>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</si>
  <si>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</si>
  <si>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</si>
  <si>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</si>
  <si>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</si>
  <si>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</si>
  <si>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</si>
  <si>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</si>
  <si>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</si>
  <si>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</si>
  <si>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</si>
  <si>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</si>
  <si>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</si>
  <si>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</si>
  <si>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</si>
  <si>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</si>
  <si>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</si>
  <si>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</si>
  <si>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</si>
  <si>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</si>
  <si>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</si>
  <si>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</si>
  <si>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</si>
  <si>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</si>
  <si>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</si>
  <si>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</si>
  <si>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</si>
  <si>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</si>
  <si>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</si>
  <si>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</si>
  <si>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</si>
  <si>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</si>
  <si>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</si>
  <si>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</si>
  <si>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</si>
  <si>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</si>
  <si>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</si>
  <si>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</si>
  <si>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</si>
  <si>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</si>
  <si>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</si>
  <si>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</si>
  <si>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</si>
  <si>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</si>
  <si>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</si>
  <si>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</si>
  <si>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</si>
  <si>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</si>
  <si>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</si>
  <si>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</si>
  <si>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</si>
  <si>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</si>
  <si>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</si>
  <si>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</si>
  <si>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</si>
  <si>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</si>
  <si>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</si>
  <si>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</si>
  <si>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</si>
  <si>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</si>
  <si>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</si>
  <si>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</si>
  <si>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</si>
  <si>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</si>
  <si>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</si>
  <si>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</si>
  <si>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</si>
  <si>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</si>
  <si>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</si>
  <si>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</si>
  <si>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</si>
  <si>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</si>
  <si>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</si>
  <si>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</si>
  <si>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</si>
  <si>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</si>
  <si>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</si>
  <si>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</si>
  <si>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</si>
  <si>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</si>
  <si>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</si>
  <si>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</si>
  <si>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</si>
  <si>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</si>
  <si>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</si>
  <si>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</si>
  <si>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</si>
  <si>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</si>
  <si>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</si>
  <si>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</si>
  <si>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</si>
  <si>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</si>
  <si>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</si>
  <si>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</si>
  <si>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</si>
  <si>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</si>
  <si>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</si>
  <si>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</si>
  <si>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</si>
  <si>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</si>
  <si>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</si>
  <si>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</si>
  <si>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</si>
  <si>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</si>
  <si>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</si>
  <si>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</si>
  <si>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</si>
  <si>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</si>
  <si>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</si>
  <si>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</si>
  <si>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</si>
  <si>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</si>
  <si>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</si>
  <si>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</si>
  <si>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</si>
  <si>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</si>
  <si>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</si>
  <si>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</si>
  <si>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</si>
  <si>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</si>
  <si>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</si>
  <si>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</si>
  <si>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</si>
  <si>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</si>
  <si>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</si>
  <si>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</si>
  <si>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</si>
  <si>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</si>
  <si>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</si>
  <si>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</si>
  <si>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</si>
  <si>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</si>
  <si>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</si>
  <si>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</si>
  <si>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</si>
  <si>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</si>
  <si>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</si>
  <si>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</si>
  <si>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</si>
  <si>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</si>
  <si>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</si>
  <si>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</si>
  <si>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</si>
  <si>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</si>
  <si>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</si>
  <si>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</si>
  <si>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</si>
  <si>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</si>
  <si>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</si>
  <si>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</si>
  <si>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</si>
  <si>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</si>
  <si>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</si>
  <si>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</si>
  <si>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</si>
  <si>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</si>
  <si>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</si>
  <si>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</si>
  <si>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</si>
  <si>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</si>
  <si>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</si>
  <si>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</si>
  <si>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</si>
  <si>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</si>
  <si>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</si>
  <si>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</si>
  <si>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</si>
  <si>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</si>
  <si>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</si>
  <si>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</si>
  <si>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</si>
  <si>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</si>
  <si>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</si>
  <si>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</si>
  <si>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</si>
  <si>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</si>
  <si>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</si>
  <si>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</si>
  <si>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</si>
  <si>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</si>
  <si>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</si>
  <si>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</si>
  <si>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</si>
  <si>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</si>
  <si>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</si>
  <si>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</si>
  <si>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</si>
  <si>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</si>
  <si>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</si>
  <si>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</si>
  <si>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</si>
  <si>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</si>
  <si>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</si>
  <si>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</si>
  <si>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</si>
  <si>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</si>
  <si>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</si>
  <si>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</si>
  <si>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</si>
  <si>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</si>
  <si>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</si>
  <si>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</si>
  <si>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</si>
  <si>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</si>
  <si>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</si>
  <si>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</si>
  <si>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</si>
  <si>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</si>
  <si>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</si>
  <si>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</si>
  <si>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</si>
  <si>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</si>
  <si>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</si>
  <si>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</si>
  <si>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</si>
  <si>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</si>
  <si>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</si>
  <si>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</si>
  <si>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</si>
  <si>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</si>
  <si>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</si>
  <si>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</si>
  <si>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</si>
  <si>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</si>
  <si>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</si>
  <si>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</si>
  <si>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</si>
  <si>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</si>
  <si>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</si>
  <si>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</si>
  <si>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</si>
  <si>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</si>
  <si>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</si>
  <si>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</si>
  <si>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</si>
  <si>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</si>
  <si>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</si>
  <si>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</si>
  <si>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</si>
  <si>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</si>
  <si>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</si>
  <si>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</si>
  <si>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</si>
  <si>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</si>
  <si>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</si>
  <si>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</si>
  <si>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</si>
  <si>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</si>
  <si>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</si>
  <si>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</si>
  <si>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</si>
  <si>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</si>
  <si>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</si>
  <si>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</si>
  <si>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</si>
  <si>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</si>
  <si>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</si>
  <si>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</si>
  <si>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</si>
  <si>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</si>
  <si>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</si>
  <si>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</si>
  <si>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</si>
  <si>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</si>
  <si>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</si>
  <si>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</si>
  <si>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</si>
  <si>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</si>
  <si>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</si>
  <si>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</si>
  <si>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</si>
  <si>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</si>
  <si>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</si>
  <si>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</si>
  <si>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</si>
  <si>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</si>
  <si>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</si>
  <si>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</si>
  <si>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</si>
  <si>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</si>
  <si>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</si>
  <si>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</si>
  <si>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</si>
  <si>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</si>
  <si>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</si>
  <si>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</si>
  <si>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</si>
  <si>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</si>
  <si>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</si>
  <si>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</si>
  <si>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</si>
  <si>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</si>
  <si>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</si>
  <si>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</si>
  <si>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</si>
  <si>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</si>
  <si>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</si>
  <si>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</si>
  <si>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</si>
  <si>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</si>
  <si>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</si>
  <si>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</si>
  <si>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</si>
  <si>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</si>
  <si>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</si>
  <si>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</si>
  <si>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</si>
  <si>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</si>
  <si>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</si>
  <si>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</si>
  <si>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</si>
  <si>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</si>
  <si>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</si>
  <si>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</si>
  <si>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</si>
  <si>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</si>
  <si>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</si>
  <si>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</si>
  <si>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</si>
  <si>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</si>
  <si>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</si>
  <si>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</si>
  <si>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</si>
  <si>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</si>
  <si>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</si>
  <si>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</si>
  <si>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</si>
  <si>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</si>
  <si>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</si>
  <si>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</si>
  <si>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</si>
  <si>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</si>
  <si>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</si>
  <si>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</si>
  <si>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</si>
  <si>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</si>
  <si>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</si>
  <si>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</si>
  <si>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</si>
  <si>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</si>
  <si>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</si>
  <si>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</si>
  <si>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</si>
  <si>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</si>
  <si>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</si>
  <si>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</si>
  <si>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</si>
  <si>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</si>
  <si>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</si>
  <si>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</si>
  <si>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</si>
  <si>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</si>
  <si>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</si>
  <si>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</si>
  <si>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</si>
  <si>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</si>
  <si>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</si>
  <si>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</si>
  <si>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</si>
  <si>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</si>
  <si>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</si>
  <si>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</si>
  <si>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</si>
  <si>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</si>
  <si>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</si>
  <si>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</si>
  <si>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</si>
  <si>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</si>
  <si>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</si>
  <si>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</si>
  <si>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</si>
  <si>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</si>
  <si>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</si>
  <si>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</si>
  <si>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</si>
  <si>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</si>
  <si>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</si>
  <si>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</si>
  <si>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</si>
  <si>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</si>
  <si>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</si>
  <si>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</si>
  <si>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</si>
  <si>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</si>
  <si>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</si>
  <si>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</si>
  <si>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</si>
  <si>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</si>
  <si>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</si>
  <si>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</si>
  <si>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</si>
  <si>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</si>
  <si>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</si>
  <si>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</si>
  <si>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</si>
  <si>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</si>
  <si>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</si>
  <si>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</si>
  <si>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</si>
  <si>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</si>
  <si>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</si>
  <si>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</si>
  <si>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</si>
  <si>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</si>
  <si>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</si>
  <si>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</si>
  <si>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</si>
  <si>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</si>
  <si>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</si>
  <si>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</si>
  <si>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</si>
  <si>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</si>
  <si>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</si>
  <si>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</si>
  <si>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</si>
  <si>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</si>
  <si>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</si>
  <si>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</si>
  <si>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</si>
  <si>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</si>
  <si>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</si>
  <si>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</si>
  <si>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</si>
  <si>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</si>
  <si>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</si>
  <si>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</si>
  <si>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</si>
  <si>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</si>
  <si>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</si>
  <si>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</si>
  <si>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</si>
  <si>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</si>
  <si>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</si>
  <si>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</si>
  <si>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</si>
  <si>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</si>
  <si>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</si>
  <si>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</si>
  <si>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</si>
  <si>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</si>
  <si>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</si>
  <si>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</si>
  <si>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</si>
  <si>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</si>
  <si>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</si>
  <si>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</si>
  <si>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</si>
  <si>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</si>
  <si>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</si>
  <si>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</si>
  <si>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</si>
  <si>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</si>
  <si>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</si>
  <si>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</si>
  <si>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</si>
  <si>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</si>
  <si>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</si>
  <si>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</si>
  <si>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</si>
  <si>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</si>
  <si>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</si>
  <si>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</si>
  <si>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</si>
  <si>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</si>
  <si>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</si>
  <si>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</si>
  <si>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</si>
  <si>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</si>
  <si>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</si>
  <si>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</si>
  <si>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</si>
  <si>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</si>
  <si>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</si>
  <si>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</si>
  <si>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</si>
  <si>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</si>
  <si>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</si>
  <si>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</si>
  <si>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</si>
  <si>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</si>
  <si>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</si>
  <si>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</si>
  <si>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</si>
  <si>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</si>
  <si>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</si>
  <si>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</si>
  <si>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</si>
  <si>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</si>
  <si>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</si>
  <si>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</si>
  <si>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</si>
  <si>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</si>
  <si>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</si>
  <si>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</si>
  <si>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</si>
  <si>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</si>
  <si>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</si>
  <si>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</si>
  <si>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</si>
  <si>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</si>
  <si>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</si>
  <si>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</si>
  <si>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</si>
  <si>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</si>
  <si>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</si>
  <si>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</si>
  <si>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</si>
  <si>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</si>
  <si>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</si>
  <si>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</si>
  <si>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</si>
  <si>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</si>
  <si>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</si>
  <si>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</si>
  <si>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</si>
  <si>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</si>
  <si>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</si>
  <si>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</si>
  <si>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</si>
  <si>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</si>
  <si>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</si>
  <si>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</si>
  <si>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</si>
  <si>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</si>
  <si>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</si>
  <si>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</si>
  <si>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</si>
  <si>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</si>
  <si>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</si>
  <si>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</si>
  <si>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</si>
  <si>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</si>
  <si>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</si>
  <si>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</si>
  <si>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</si>
  <si>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</si>
  <si>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</si>
  <si>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</si>
  <si>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</si>
  <si>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</si>
  <si>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</si>
  <si>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</si>
  <si>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</si>
  <si>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</si>
  <si>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</si>
  <si>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</si>
  <si>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</si>
  <si>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</si>
  <si>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</si>
  <si>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</si>
  <si>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</si>
  <si>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</si>
  <si>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</si>
  <si>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</si>
  <si>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</si>
  <si>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</si>
  <si>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</si>
  <si>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</si>
  <si>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</si>
  <si>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</si>
  <si>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</si>
  <si>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</si>
  <si>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</si>
  <si>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</si>
  <si>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</si>
  <si>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</si>
  <si>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</si>
  <si>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</si>
  <si>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</si>
  <si>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</si>
  <si>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</si>
  <si>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</si>
  <si>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</si>
  <si>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</si>
  <si>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</si>
  <si>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</si>
  <si>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</si>
  <si>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</si>
  <si>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</si>
  <si>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</si>
  <si>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</si>
  <si>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</si>
  <si>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</si>
  <si>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</si>
  <si>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</si>
  <si>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</si>
  <si>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</si>
  <si>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</si>
  <si>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</si>
  <si>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</si>
  <si>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</si>
  <si>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</si>
  <si>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</si>
  <si>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</si>
  <si>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</si>
  <si>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</si>
  <si>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</si>
  <si>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</si>
  <si>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</si>
  <si>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</si>
  <si>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</si>
  <si>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</si>
  <si>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</si>
  <si>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</si>
  <si>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</si>
  <si>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</si>
  <si>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</si>
  <si>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</si>
  <si>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</si>
  <si>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</si>
  <si>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</si>
  <si>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</si>
  <si>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</si>
  <si>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</si>
  <si>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</si>
  <si>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</si>
  <si>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</si>
  <si>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</si>
  <si>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</si>
  <si>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</si>
  <si>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</si>
  <si>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</si>
  <si>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</si>
  <si>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</si>
  <si>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</si>
  <si>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</si>
  <si>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</si>
  <si>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</si>
  <si>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</si>
  <si>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</si>
  <si>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</si>
  <si>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</si>
  <si>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</si>
  <si>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</si>
  <si>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</si>
  <si>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</si>
  <si>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</si>
  <si>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</si>
  <si>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</si>
  <si>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</si>
  <si>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</si>
  <si>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</si>
  <si>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</si>
  <si>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</si>
  <si>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</si>
  <si>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</si>
  <si>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</si>
  <si>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</si>
  <si>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</si>
  <si>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</si>
  <si>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</si>
  <si>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</si>
  <si>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</si>
  <si>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</si>
  <si>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</si>
  <si>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</si>
  <si>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</si>
  <si>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</si>
  <si>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</si>
  <si>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</si>
  <si>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</si>
  <si>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</si>
  <si>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</si>
  <si>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</si>
  <si>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</si>
  <si>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</si>
  <si>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</si>
  <si>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</si>
  <si>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</si>
  <si>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</si>
  <si>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</si>
  <si>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</si>
  <si>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</si>
  <si>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</si>
  <si>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</si>
  <si>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</si>
  <si>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</si>
  <si>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</si>
  <si>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</si>
  <si>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</si>
  <si>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</si>
  <si>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</si>
  <si>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</si>
  <si>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</si>
  <si>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</si>
  <si>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</si>
  <si>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</si>
  <si>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</si>
  <si>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</si>
  <si>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</si>
  <si>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</si>
  <si>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</si>
  <si>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</si>
  <si>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</si>
  <si>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</si>
  <si>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</si>
  <si>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</si>
  <si>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</si>
  <si>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</si>
  <si>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</si>
  <si>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</si>
  <si>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</si>
  <si>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</si>
  <si>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</si>
  <si>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</si>
  <si>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</si>
  <si>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</si>
  <si>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</si>
  <si>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</si>
  <si>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</si>
  <si>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</si>
  <si>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</si>
  <si>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</si>
  <si>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</si>
  <si>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</si>
  <si>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</si>
  <si>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</si>
  <si>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</si>
  <si>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</si>
  <si>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</si>
  <si>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</si>
  <si>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</si>
  <si>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</si>
  <si>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</si>
  <si>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</si>
  <si>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</si>
  <si>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</si>
  <si>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</si>
  <si>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</si>
  <si>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</si>
  <si>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</si>
  <si>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</si>
  <si>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</si>
  <si>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</si>
  <si>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</si>
  <si>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</si>
  <si>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</si>
  <si>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</si>
  <si>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</si>
  <si>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</si>
  <si>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</si>
  <si>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</si>
  <si>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</si>
  <si>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</si>
  <si>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</si>
  <si>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</si>
  <si>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</si>
  <si>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</si>
  <si>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</si>
  <si>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</si>
  <si>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</si>
  <si>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</si>
  <si>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</si>
  <si>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</si>
  <si>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</si>
  <si>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</si>
  <si>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</si>
  <si>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</si>
  <si>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</si>
  <si>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</si>
  <si>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</si>
  <si>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</si>
  <si>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</si>
  <si>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</si>
  <si>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</si>
  <si>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</si>
  <si>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</si>
  <si>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</si>
  <si>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</si>
  <si>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</si>
  <si>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</si>
  <si>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</si>
  <si>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</si>
  <si>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</si>
  <si>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</si>
  <si>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</si>
  <si>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</si>
  <si>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</si>
  <si>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</si>
  <si>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</si>
  <si>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</si>
  <si>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</si>
  <si>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</si>
  <si>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</si>
  <si>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</si>
  <si>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</si>
  <si>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</si>
  <si>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</si>
  <si>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</si>
  <si>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</si>
  <si>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</si>
  <si>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</si>
  <si>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</si>
  <si>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</si>
  <si>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</si>
  <si>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</si>
  <si>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</si>
  <si>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</si>
  <si>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</si>
  <si>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</si>
  <si>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</si>
  <si>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</si>
  <si>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</si>
  <si>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</si>
  <si>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</si>
  <si>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</si>
  <si>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</si>
  <si>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</si>
  <si>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</si>
  <si>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</si>
  <si>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</si>
  <si>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</si>
  <si>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</si>
  <si>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</si>
  <si>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</si>
  <si>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</si>
  <si>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</si>
  <si>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</si>
  <si>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</si>
  <si>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</si>
  <si>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</si>
  <si>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</si>
  <si>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</si>
  <si>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</si>
  <si>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</si>
  <si>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</si>
  <si>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</si>
  <si>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</si>
  <si>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</si>
  <si>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</si>
  <si>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</si>
  <si>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</si>
  <si>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</si>
  <si>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</si>
  <si>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</si>
  <si>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</si>
  <si>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</si>
  <si>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</si>
  <si>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</si>
  <si>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</si>
  <si>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</si>
  <si>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</si>
  <si>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</si>
  <si>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</si>
  <si>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</si>
  <si>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</si>
  <si>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</si>
  <si>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</si>
  <si>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</si>
  <si>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</si>
  <si>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</si>
  <si>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</si>
  <si>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</si>
  <si>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</si>
  <si>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</si>
  <si>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</si>
  <si>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</si>
  <si>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</si>
  <si>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</si>
  <si>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</si>
  <si>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</si>
  <si>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</si>
  <si>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</si>
  <si>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</si>
  <si>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</si>
  <si>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</si>
  <si>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</si>
  <si>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</si>
  <si>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</si>
  <si>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</si>
  <si>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</si>
  <si>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</si>
  <si>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</si>
  <si>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</si>
  <si>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</si>
  <si>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</si>
  <si>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</si>
  <si>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</si>
  <si>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</si>
  <si>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</si>
  <si>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</si>
  <si>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</si>
  <si>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</si>
  <si>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</si>
  <si>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</si>
  <si>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</si>
  <si>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</si>
  <si>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</si>
  <si>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</si>
  <si>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</si>
  <si>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</si>
  <si>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</si>
  <si>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</si>
  <si>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</si>
  <si>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</si>
  <si>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</si>
  <si>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</si>
  <si>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</si>
  <si>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</si>
  <si>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</si>
  <si>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</si>
  <si>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</si>
  <si>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</si>
  <si>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</si>
  <si>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</si>
  <si>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</si>
  <si>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</si>
  <si>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</si>
  <si>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</si>
  <si>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</si>
  <si>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</si>
  <si>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</si>
  <si>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</si>
  <si>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</si>
  <si>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</si>
  <si>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</si>
  <si>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</si>
  <si>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</si>
  <si>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</si>
  <si>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</si>
  <si>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</si>
  <si>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</si>
  <si>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</si>
  <si>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</si>
  <si>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</si>
  <si>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</si>
  <si>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</si>
  <si>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</si>
  <si>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</si>
  <si>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</si>
  <si>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</si>
  <si>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</si>
  <si>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</si>
  <si>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</si>
  <si>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</si>
  <si>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</si>
  <si>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</si>
  <si>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</si>
  <si>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</si>
  <si>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</si>
  <si>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</si>
  <si>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</si>
  <si>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</si>
  <si>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</si>
  <si>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</si>
  <si>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</si>
  <si>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</si>
  <si>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</si>
  <si>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</si>
  <si>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</si>
  <si>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</si>
  <si>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</si>
  <si>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</si>
  <si>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</si>
  <si>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</si>
  <si>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</si>
  <si>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</si>
  <si>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</si>
  <si>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</si>
  <si>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</si>
  <si>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</si>
  <si>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</si>
  <si>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</si>
  <si>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</si>
  <si>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</si>
  <si>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</si>
  <si>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</si>
  <si>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</si>
  <si>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</si>
  <si>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</si>
  <si>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</si>
  <si>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</si>
  <si>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</si>
  <si>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</si>
  <si>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</si>
  <si>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</si>
  <si>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</si>
  <si>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</si>
  <si>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</si>
  <si>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</si>
  <si>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</si>
  <si>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</si>
  <si>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</si>
  <si>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</si>
  <si>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</si>
  <si>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</si>
  <si>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</si>
  <si>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</si>
  <si>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</si>
  <si>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</si>
  <si>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</si>
  <si>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</si>
  <si>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</si>
  <si>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</si>
  <si>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</si>
  <si>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</si>
  <si>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</si>
  <si>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</si>
  <si>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</si>
  <si>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</si>
  <si>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</si>
  <si>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</si>
  <si>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</si>
  <si>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</si>
  <si>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</si>
  <si>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</si>
  <si>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</si>
  <si>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</si>
  <si>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</si>
  <si>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</si>
  <si>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</si>
  <si>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</si>
  <si>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</si>
  <si>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</si>
  <si>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</si>
  <si>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</si>
  <si>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</si>
  <si>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</si>
  <si>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</si>
  <si>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</si>
  <si>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</si>
  <si>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</si>
  <si>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</si>
  <si>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</si>
  <si>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</si>
  <si>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</si>
  <si>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</si>
  <si>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</si>
  <si>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</si>
  <si>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</si>
  <si>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</si>
  <si>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</si>
  <si>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</si>
  <si>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</si>
  <si>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</si>
  <si>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</si>
  <si>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</si>
  <si>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</si>
  <si>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</si>
  <si>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</si>
  <si>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</si>
  <si>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</si>
  <si>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</si>
  <si>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</si>
  <si>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</si>
  <si>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</si>
  <si>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</si>
  <si>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</si>
  <si>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</si>
  <si>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</si>
  <si>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</si>
  <si>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</si>
  <si>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</si>
  <si>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</si>
  <si>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</si>
  <si>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</si>
  <si>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</si>
  <si>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</si>
  <si>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</si>
  <si>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</si>
  <si>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</si>
  <si>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</si>
  <si>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</si>
  <si>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</si>
  <si>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</si>
  <si>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</si>
  <si>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</si>
  <si>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</si>
  <si>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</si>
  <si>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</si>
  <si>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</si>
  <si>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</si>
  <si>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</si>
  <si>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</si>
  <si>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</si>
  <si>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</si>
  <si>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</si>
  <si>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</si>
  <si>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</si>
  <si>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</si>
  <si>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</si>
  <si>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</si>
  <si>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</si>
  <si>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</si>
  <si>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</si>
  <si>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</si>
  <si>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</si>
  <si>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</si>
  <si>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</si>
  <si>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</si>
  <si>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</si>
  <si>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</si>
  <si>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</si>
  <si>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</si>
  <si>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</si>
  <si>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</si>
  <si>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</si>
  <si>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</si>
  <si>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</si>
  <si>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</si>
  <si>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</si>
  <si>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</si>
  <si>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</si>
  <si>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</si>
  <si>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</si>
  <si>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</si>
  <si>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</si>
  <si>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</si>
  <si>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</si>
  <si>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</si>
  <si>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</si>
  <si>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</si>
  <si>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</si>
  <si>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</si>
  <si>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</si>
  <si>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</si>
  <si>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</si>
  <si>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</si>
  <si>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</si>
  <si>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</si>
  <si>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</si>
  <si>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</si>
  <si>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</si>
  <si>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</si>
  <si>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</si>
  <si>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</si>
  <si>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</si>
  <si>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</si>
  <si>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</si>
  <si>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</si>
  <si>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</si>
  <si>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</si>
  <si>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</si>
  <si>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</si>
  <si>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</si>
  <si>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</si>
  <si>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</si>
  <si>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</si>
  <si>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</si>
  <si>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</si>
  <si>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</si>
  <si>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</si>
  <si>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</si>
  <si>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</si>
  <si>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</si>
  <si>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</si>
  <si>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</si>
  <si>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</si>
  <si>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</si>
  <si>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</si>
  <si>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</si>
  <si>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</si>
  <si>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</si>
  <si>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</si>
  <si>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</si>
  <si>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</si>
  <si>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</si>
  <si>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</si>
  <si>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</si>
  <si>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</si>
  <si>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</si>
  <si>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</si>
  <si>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</si>
  <si>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</si>
  <si>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</si>
  <si>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</si>
  <si>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</si>
  <si>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</si>
  <si>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</si>
  <si>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</si>
  <si>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</si>
  <si>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</si>
  <si>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</si>
  <si>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</si>
  <si>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</si>
  <si>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</si>
  <si>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</si>
  <si>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</si>
  <si>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</si>
  <si>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</si>
  <si>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</si>
  <si>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</si>
  <si>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</si>
  <si>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</si>
  <si>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</si>
  <si>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</si>
  <si>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</si>
  <si>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</si>
  <si>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</si>
  <si>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</si>
  <si>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</si>
  <si>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</si>
  <si>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</si>
  <si>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</si>
  <si>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</si>
  <si>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</si>
  <si>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</si>
  <si>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</si>
  <si>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</si>
  <si>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</si>
  <si>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</si>
  <si>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</si>
  <si>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</si>
  <si>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</si>
  <si>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</si>
  <si>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</si>
  <si>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</si>
  <si>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</si>
  <si>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</si>
  <si>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</si>
  <si>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</si>
  <si>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</si>
  <si>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</si>
  <si>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</si>
  <si>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</si>
  <si>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</si>
  <si>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</si>
  <si>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</si>
  <si>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</si>
  <si>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</si>
  <si>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</si>
  <si>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</si>
  <si>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</si>
  <si>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</si>
  <si>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</si>
  <si>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</si>
  <si>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</si>
  <si>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</si>
  <si>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</si>
  <si>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</si>
  <si>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</si>
  <si>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</si>
  <si>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</si>
  <si>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</si>
  <si>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</si>
  <si>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</si>
  <si>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</si>
  <si>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</si>
  <si>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</si>
  <si>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</si>
  <si>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</si>
  <si>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</si>
  <si>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</si>
  <si>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</si>
  <si>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</si>
  <si>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</si>
  <si>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</si>
  <si>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</si>
  <si>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</si>
  <si>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</si>
  <si>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</si>
  <si>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</si>
  <si>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</si>
  <si>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</si>
  <si>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</si>
  <si>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</si>
  <si>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</si>
  <si>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</si>
  <si>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</si>
  <si>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</si>
  <si>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</si>
  <si>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</si>
  <si>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</si>
  <si>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</si>
  <si>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</si>
  <si>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</si>
  <si>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</si>
  <si>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</si>
  <si>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</si>
  <si>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</si>
  <si>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</si>
  <si>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</si>
  <si>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</si>
  <si>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</si>
  <si>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</si>
  <si>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</si>
  <si>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</si>
  <si>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</si>
  <si>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</si>
  <si>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</si>
  <si>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</si>
  <si>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</si>
  <si>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</si>
  <si>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</si>
  <si>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</si>
  <si>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</si>
  <si>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</si>
  <si>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</si>
  <si>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</si>
  <si>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</si>
  <si>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</si>
  <si>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</si>
  <si>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</si>
  <si>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</si>
  <si>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</si>
  <si>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</si>
  <si>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</si>
  <si>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</si>
  <si>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</si>
  <si>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</si>
  <si>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</si>
  <si>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</si>
  <si>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</si>
  <si>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</si>
  <si>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</si>
  <si>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</si>
  <si>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</si>
  <si>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</si>
  <si>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</si>
  <si>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</si>
  <si>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</si>
  <si>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</si>
  <si>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</si>
  <si>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</si>
  <si>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</si>
  <si>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</si>
  <si>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</si>
  <si>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</si>
  <si>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</si>
  <si>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</si>
  <si>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</si>
  <si>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</si>
  <si>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</si>
  <si>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</si>
  <si>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</si>
  <si>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</si>
  <si>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</si>
  <si>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</si>
  <si>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</si>
  <si>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</si>
  <si>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</si>
  <si>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</si>
  <si>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</si>
  <si>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</si>
  <si>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</si>
  <si>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</si>
  <si>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</si>
  <si>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</si>
  <si>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</si>
  <si>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</si>
  <si>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</si>
  <si>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</si>
  <si>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</si>
  <si>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</si>
  <si>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</si>
  <si>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</si>
  <si>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</si>
  <si>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</si>
  <si>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</si>
  <si>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</si>
  <si>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</si>
  <si>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</si>
  <si>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</si>
  <si>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</si>
  <si>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</si>
  <si>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</si>
  <si>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</si>
  <si>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</si>
  <si>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</si>
  <si>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</si>
  <si>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</si>
  <si>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</si>
  <si>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</si>
  <si>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</si>
  <si>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</si>
  <si>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</si>
  <si>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</si>
  <si>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</si>
  <si>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</si>
  <si>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</si>
  <si>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</si>
  <si>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</si>
  <si>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</si>
  <si>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</si>
  <si>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</si>
  <si>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</si>
  <si>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</si>
  <si>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</si>
  <si>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</si>
  <si>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</si>
  <si>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</si>
  <si>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</si>
  <si>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</si>
  <si>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</si>
  <si>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</si>
  <si>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</si>
  <si>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</si>
  <si>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</si>
  <si>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</si>
  <si>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</si>
  <si>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</si>
  <si>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</si>
  <si>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</si>
  <si>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</si>
  <si>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</si>
  <si>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</si>
  <si>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</si>
  <si>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</si>
  <si>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</si>
  <si>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</si>
  <si>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</si>
  <si>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</si>
  <si>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</si>
  <si>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</si>
  <si>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</si>
  <si>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</si>
  <si>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</si>
  <si>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</si>
  <si>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</si>
  <si>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</si>
  <si>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</si>
  <si>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</si>
  <si>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</si>
  <si>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</si>
  <si>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</si>
  <si>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</si>
  <si>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</si>
  <si>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</si>
  <si>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</si>
  <si>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</si>
  <si>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</si>
  <si>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</si>
  <si>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</si>
  <si>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</si>
  <si>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</si>
  <si>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</si>
  <si>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</si>
  <si>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</si>
  <si>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</si>
  <si>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</si>
  <si>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</si>
  <si>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</si>
  <si>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</si>
  <si>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</si>
  <si>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</si>
  <si>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</si>
  <si>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</si>
  <si>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</si>
  <si>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</si>
  <si>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</si>
  <si>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</si>
  <si>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</si>
  <si>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</si>
  <si>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</si>
  <si>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</si>
  <si>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</si>
  <si>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</si>
  <si>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</si>
  <si>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</si>
  <si>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</si>
  <si>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</si>
  <si>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</si>
  <si>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</si>
  <si>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</si>
  <si>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</si>
  <si>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</si>
  <si>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</si>
  <si>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</si>
  <si>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</si>
  <si>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</si>
  <si>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</si>
  <si>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</si>
  <si>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</si>
  <si>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</si>
  <si>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</si>
  <si>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</si>
  <si>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</si>
  <si>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</si>
  <si>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</si>
  <si>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</si>
  <si>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</si>
  <si>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</si>
  <si>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</si>
  <si>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</si>
  <si>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</si>
  <si>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</si>
  <si>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</si>
  <si>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</si>
  <si>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</si>
  <si>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</si>
  <si>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</si>
  <si>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</si>
  <si>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</si>
  <si>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</si>
  <si>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</si>
  <si>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</si>
  <si>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</si>
  <si>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</si>
  <si>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</si>
  <si>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</si>
  <si>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</si>
  <si>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</si>
  <si>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</si>
  <si>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</si>
  <si>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</si>
  <si>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</si>
  <si>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</si>
  <si>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</si>
  <si>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</si>
  <si>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</si>
  <si>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</si>
  <si>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</si>
  <si>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</si>
  <si>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</si>
  <si>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</si>
  <si>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</si>
  <si>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</si>
  <si>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</si>
  <si>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</si>
  <si>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</si>
  <si>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</si>
  <si>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</si>
  <si>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</si>
  <si>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</si>
  <si>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</si>
  <si>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</si>
  <si>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</si>
  <si>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</si>
  <si>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</si>
  <si>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</si>
  <si>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</si>
  <si>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</si>
  <si>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</si>
  <si>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</si>
  <si>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</si>
  <si>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</si>
  <si>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</si>
  <si>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</si>
  <si>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</si>
  <si>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</si>
  <si>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</si>
  <si>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</si>
  <si>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</si>
  <si>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</si>
  <si>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</si>
  <si>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</si>
  <si>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</si>
  <si>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</si>
  <si>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</si>
  <si>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</si>
  <si>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</si>
  <si>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</si>
  <si>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</si>
  <si>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</si>
  <si>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</si>
  <si>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</si>
  <si>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</si>
  <si>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</si>
  <si>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</si>
  <si>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</si>
  <si>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</si>
  <si>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</si>
  <si>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</si>
  <si>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</si>
  <si>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</si>
  <si>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</si>
  <si>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</si>
  <si>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</si>
  <si>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</si>
  <si>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</si>
  <si>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</si>
  <si>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</si>
  <si>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</si>
  <si>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</si>
  <si>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</si>
  <si>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</si>
  <si>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</si>
  <si>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</si>
  <si>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</si>
  <si>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</si>
  <si>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</si>
  <si>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</si>
  <si>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</si>
  <si>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</si>
  <si>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</si>
  <si>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</si>
  <si>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</si>
  <si>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</si>
  <si>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</si>
  <si>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</si>
  <si>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</si>
  <si>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</si>
  <si>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</si>
  <si>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</si>
  <si>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</si>
  <si>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</si>
  <si>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</si>
  <si>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</si>
  <si>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</si>
  <si>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</si>
  <si>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</si>
  <si>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</si>
  <si>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</si>
  <si>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</si>
  <si>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</si>
  <si>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</si>
  <si>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</si>
  <si>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</si>
  <si>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</si>
  <si>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</si>
  <si>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</si>
  <si>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</si>
  <si>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</si>
  <si>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</si>
  <si>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</si>
  <si>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</si>
  <si>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</si>
  <si>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</si>
  <si>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</si>
  <si>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</si>
  <si>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</si>
  <si>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</si>
  <si>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</si>
  <si>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</si>
  <si>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</si>
  <si>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</si>
  <si>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</si>
  <si>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</si>
  <si>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</si>
  <si>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</si>
  <si>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</si>
  <si>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</si>
  <si>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</si>
  <si>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</si>
  <si>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</si>
  <si>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</si>
  <si>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</si>
  <si>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</si>
  <si>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</si>
  <si>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</si>
  <si>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</si>
  <si>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</si>
  <si>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</si>
  <si>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</si>
  <si>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</si>
  <si>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</si>
  <si>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</si>
  <si>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</si>
  <si>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</si>
  <si>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</si>
  <si>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</si>
  <si>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</si>
  <si>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</si>
  <si>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</si>
  <si>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</si>
  <si>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</si>
  <si>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</si>
  <si>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</si>
  <si>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</si>
  <si>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</si>
  <si>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</si>
  <si>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</si>
  <si>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</si>
  <si>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</si>
  <si>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</si>
  <si>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</si>
  <si>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</si>
  <si>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</si>
  <si>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</si>
  <si>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</si>
  <si>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</si>
  <si>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</si>
  <si>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</si>
  <si>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</si>
  <si>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</si>
  <si>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</si>
  <si>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</si>
  <si>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</si>
  <si>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</si>
  <si>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</si>
  <si>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</si>
  <si>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</si>
  <si>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</si>
  <si>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</si>
  <si>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</si>
  <si>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</si>
  <si>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</si>
  <si>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</si>
  <si>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</si>
  <si>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</si>
  <si>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</si>
  <si>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</si>
  <si>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</si>
  <si>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</si>
  <si>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</si>
  <si>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</si>
  <si>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</si>
  <si>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</si>
  <si>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</si>
  <si>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</si>
  <si>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</si>
  <si>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</si>
  <si>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</si>
  <si>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</si>
  <si>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</si>
  <si>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</si>
  <si>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</si>
  <si>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</si>
  <si>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</si>
  <si>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</si>
  <si>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</si>
  <si>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</si>
  <si>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</si>
  <si>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</si>
  <si>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</si>
  <si>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</si>
  <si>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</si>
  <si>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</si>
  <si>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</si>
  <si>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</si>
  <si>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</si>
  <si>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</si>
  <si>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</si>
  <si>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</si>
  <si>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</si>
  <si>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</si>
  <si>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</si>
  <si>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</si>
  <si>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</si>
  <si>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</si>
  <si>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</si>
  <si>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</si>
  <si>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</si>
  <si>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</si>
  <si>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</si>
  <si>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</si>
  <si>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</si>
  <si>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</si>
  <si>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</si>
  <si>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</si>
  <si>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</si>
  <si>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</si>
  <si>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</si>
  <si>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</si>
  <si>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</si>
  <si>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</si>
  <si>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</si>
  <si>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</si>
  <si>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</si>
  <si>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</si>
  <si>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</si>
  <si>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</si>
  <si>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</si>
  <si>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</si>
  <si>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</si>
  <si>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</si>
  <si>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</si>
  <si>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</si>
  <si>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</si>
  <si>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</si>
  <si>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</si>
  <si>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</si>
  <si>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</si>
  <si>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</si>
  <si>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</si>
  <si>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</si>
  <si>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</si>
  <si>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</si>
  <si>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</si>
  <si>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</si>
  <si>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</si>
  <si>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</si>
  <si>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</si>
  <si>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</si>
  <si>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</si>
  <si>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</si>
  <si>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</si>
  <si>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</si>
  <si>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</si>
  <si>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</si>
  <si>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</si>
  <si>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</si>
  <si>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</si>
  <si>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</si>
  <si>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</si>
  <si>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</si>
  <si>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</si>
  <si>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</si>
  <si>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</si>
  <si>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</si>
  <si>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</si>
  <si>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</si>
  <si>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</si>
  <si>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</si>
  <si>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</si>
  <si>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</si>
  <si>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</si>
  <si>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</si>
  <si>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</si>
  <si>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</si>
  <si>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</si>
  <si>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</si>
  <si>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</si>
  <si>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</si>
  <si>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</si>
  <si>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</si>
  <si>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</si>
  <si>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</si>
  <si>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</si>
  <si>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</si>
  <si>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</si>
  <si>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</si>
  <si>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</si>
  <si>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</si>
  <si>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</si>
  <si>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</si>
  <si>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</si>
  <si>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</si>
  <si>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</si>
  <si>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</si>
  <si>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</si>
  <si>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</si>
  <si>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</si>
  <si>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</si>
  <si>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</si>
  <si>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</si>
  <si>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</si>
  <si>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</si>
  <si>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</si>
  <si>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</si>
  <si>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</si>
  <si>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</si>
  <si>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</si>
  <si>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</si>
  <si>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</si>
  <si>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</si>
  <si>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</si>
  <si>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</si>
  <si>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</si>
  <si>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</si>
  <si>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</si>
  <si>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</si>
  <si>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</si>
  <si>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</si>
  <si>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</si>
  <si>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</si>
  <si>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</si>
  <si>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</si>
  <si>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</si>
  <si>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</si>
  <si>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</si>
  <si>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</si>
  <si>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</si>
  <si>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</si>
  <si>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</si>
  <si>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</si>
  <si>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</si>
  <si>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</si>
  <si>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</si>
  <si>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</si>
  <si>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</si>
  <si>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</si>
  <si>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</si>
  <si>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</si>
  <si>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</si>
  <si>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</si>
  <si>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</si>
  <si>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</si>
  <si>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</si>
  <si>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</si>
  <si>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</si>
  <si>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</si>
  <si>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</si>
  <si>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</si>
  <si>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</si>
  <si>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</si>
  <si>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</si>
  <si>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</si>
  <si>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</si>
  <si>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</si>
  <si>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</si>
  <si>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</si>
  <si>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</si>
  <si>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</si>
  <si>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</si>
  <si>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</si>
  <si>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</si>
  <si>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</si>
  <si>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</si>
  <si>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</si>
  <si>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</si>
  <si>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</si>
  <si>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</si>
  <si>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</si>
  <si>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</si>
  <si>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</si>
  <si>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</si>
  <si>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</si>
  <si>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</si>
  <si>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</si>
  <si>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</si>
  <si>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</si>
  <si>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</si>
  <si>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</si>
  <si>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</si>
  <si>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</si>
  <si>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</si>
  <si>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</si>
  <si>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</si>
  <si>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</si>
  <si>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</si>
  <si>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</si>
  <si>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</si>
  <si>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</si>
  <si>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</si>
  <si>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</si>
  <si>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</si>
  <si>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</si>
  <si>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</si>
  <si>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</si>
  <si>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</si>
  <si>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</si>
  <si>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</si>
  <si>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</si>
  <si>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</si>
  <si>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</si>
  <si>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</si>
  <si>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</si>
  <si>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</si>
  <si>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</si>
  <si>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</si>
  <si>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</si>
  <si>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</si>
  <si>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</si>
  <si>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</si>
  <si>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</si>
  <si>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</si>
  <si>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</si>
  <si>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</si>
  <si>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</si>
  <si>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</si>
  <si>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</si>
  <si>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</si>
  <si>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</si>
  <si>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</si>
  <si>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</si>
  <si>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</si>
  <si>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</si>
  <si>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</si>
  <si>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</si>
  <si>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</si>
  <si>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</si>
  <si>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</si>
  <si>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</si>
  <si>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</si>
  <si>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</si>
  <si>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</si>
  <si>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</si>
  <si>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</si>
  <si>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</si>
  <si>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</si>
  <si>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</si>
  <si>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</si>
  <si>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</si>
  <si>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</si>
  <si>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</si>
  <si>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</si>
  <si>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</si>
  <si>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</si>
  <si>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</si>
  <si>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</si>
  <si>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</si>
  <si>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</si>
  <si>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</si>
  <si>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</si>
  <si>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</si>
  <si>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</si>
  <si>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</si>
  <si>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</si>
  <si>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</si>
  <si>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</si>
  <si>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</si>
  <si>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</si>
  <si>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</si>
  <si>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</si>
  <si>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</si>
  <si>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</si>
  <si>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</si>
  <si>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</si>
  <si>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</si>
  <si>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</si>
  <si>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</si>
  <si>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</si>
  <si>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</si>
  <si>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</si>
  <si>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</si>
  <si>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</si>
  <si>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</si>
  <si>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</si>
  <si>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</si>
  <si>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</si>
  <si>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</si>
  <si>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</si>
  <si>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</si>
  <si>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</si>
  <si>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</si>
  <si>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</si>
  <si>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</si>
  <si>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</si>
  <si>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</si>
  <si>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</si>
  <si>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</si>
  <si>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</si>
  <si>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</si>
  <si>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</si>
  <si>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</si>
  <si>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</si>
  <si>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</si>
  <si>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</si>
  <si>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</si>
  <si>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</si>
  <si>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</si>
  <si>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</si>
  <si>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</si>
  <si>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</si>
  <si>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</si>
  <si>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</si>
  <si>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</si>
  <si>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</si>
  <si>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</si>
  <si>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</si>
  <si>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</si>
  <si>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</si>
  <si>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</si>
  <si>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</si>
  <si>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</si>
  <si>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</si>
  <si>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</si>
  <si>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</si>
  <si>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</si>
  <si>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</si>
  <si>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</si>
  <si>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</si>
  <si>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</si>
  <si>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</si>
  <si>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</si>
  <si>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</si>
  <si>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</si>
  <si>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</si>
  <si>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</si>
  <si>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</si>
  <si>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</si>
  <si>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</si>
  <si>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</si>
  <si>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</si>
  <si>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</si>
  <si>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</si>
  <si>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</si>
  <si>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</si>
  <si>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</si>
  <si>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</si>
  <si>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</si>
  <si>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</si>
  <si>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</si>
  <si>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</si>
  <si>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</si>
  <si>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</si>
  <si>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</si>
  <si>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</si>
  <si>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</si>
  <si>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</si>
  <si>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</si>
  <si>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</si>
  <si>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</si>
  <si>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</si>
  <si>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</si>
  <si>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</si>
  <si>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</si>
  <si>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</si>
  <si>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</si>
  <si>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</si>
  <si>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</si>
  <si>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</si>
  <si>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</si>
  <si>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</si>
  <si>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</si>
  <si>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</si>
  <si>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</si>
  <si>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</si>
  <si>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</si>
  <si>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</si>
  <si>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</si>
  <si>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</si>
  <si>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</si>
  <si>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</si>
  <si>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</si>
  <si>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</si>
  <si>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</si>
  <si>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</si>
  <si>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</si>
  <si>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</si>
  <si>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</si>
  <si>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</si>
  <si>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</si>
  <si>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</si>
  <si>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</si>
  <si>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</si>
  <si>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</si>
  <si>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</si>
  <si>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</si>
  <si>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</si>
  <si>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</si>
  <si>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</si>
  <si>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</si>
  <si>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</si>
  <si>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</si>
  <si>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</si>
  <si>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</si>
  <si>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</si>
  <si>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</si>
  <si>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</si>
  <si>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</si>
  <si>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</si>
  <si>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</si>
  <si>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</si>
  <si>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</si>
  <si>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</si>
  <si>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</si>
  <si>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</si>
  <si>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</si>
  <si>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</si>
  <si>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</si>
  <si>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</si>
  <si>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</si>
  <si>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</si>
  <si>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</si>
  <si>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</si>
  <si>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</si>
  <si>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</si>
  <si>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</si>
  <si>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</si>
  <si>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</si>
  <si>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</si>
  <si>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</si>
  <si>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</si>
  <si>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</si>
  <si>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</si>
  <si>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</si>
  <si>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</si>
  <si>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</si>
  <si>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</si>
  <si>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</si>
  <si>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</si>
  <si>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</si>
  <si>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</si>
  <si>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</si>
  <si>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</si>
  <si>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</si>
  <si>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</si>
  <si>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</si>
  <si>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</si>
  <si>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</si>
  <si>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</si>
  <si>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</si>
  <si>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</si>
  <si>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</si>
  <si>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</si>
  <si>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</si>
  <si>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</si>
  <si>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</si>
  <si>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</si>
  <si>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</si>
  <si>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</si>
  <si>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</si>
  <si>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</si>
  <si>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</si>
  <si>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</si>
  <si>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</si>
  <si>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</si>
  <si>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</si>
  <si>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</si>
  <si>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</si>
  <si>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</si>
  <si>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</si>
  <si>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</si>
  <si>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</si>
  <si>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</si>
  <si>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</si>
  <si>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</si>
  <si>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</si>
  <si>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</si>
  <si>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</si>
  <si>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</si>
  <si>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</si>
  <si>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</si>
  <si>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</si>
  <si>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</si>
  <si>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</si>
  <si>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</si>
  <si>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</si>
  <si>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</si>
  <si>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</si>
  <si>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</si>
  <si>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</si>
  <si>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</si>
  <si>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</si>
  <si>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</si>
  <si>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</si>
  <si>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</si>
  <si>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</si>
  <si>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</si>
  <si>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</si>
  <si>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</si>
  <si>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</si>
  <si>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</si>
  <si>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</si>
  <si>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</si>
  <si>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</si>
  <si>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</si>
  <si>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</si>
  <si>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</si>
  <si>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</si>
  <si>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</si>
  <si>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</si>
  <si>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</si>
  <si>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</si>
  <si>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</si>
  <si>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</si>
  <si>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</si>
  <si>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</si>
  <si>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</si>
  <si>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</si>
  <si>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</si>
  <si>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</si>
  <si>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</si>
  <si>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</si>
  <si>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</si>
  <si>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</si>
  <si>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</si>
  <si>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</si>
  <si>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</si>
  <si>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</si>
  <si>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</si>
  <si>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</si>
  <si>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</si>
  <si>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</si>
  <si>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</si>
  <si>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</si>
  <si>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</si>
  <si>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</si>
  <si>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</si>
  <si>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</si>
  <si>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</si>
  <si>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</si>
  <si>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</si>
  <si>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</si>
  <si>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</si>
  <si>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</si>
  <si>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</si>
  <si>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</si>
  <si>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</si>
  <si>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</si>
  <si>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</si>
  <si>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</si>
  <si>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</si>
  <si>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</si>
  <si>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</si>
  <si>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</si>
  <si>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</si>
  <si>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</si>
  <si>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</si>
  <si>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</si>
  <si>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</si>
  <si>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</si>
  <si>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</si>
  <si>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</si>
  <si>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</si>
  <si>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</si>
  <si>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</si>
  <si>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</si>
  <si>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</si>
  <si>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</si>
  <si>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</si>
  <si>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</si>
  <si>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</si>
  <si>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</si>
  <si>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</si>
  <si>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</si>
  <si>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</si>
  <si>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</si>
  <si>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</si>
  <si>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</si>
  <si>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</si>
  <si>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</si>
  <si>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</si>
  <si>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</si>
  <si>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</si>
  <si>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</si>
  <si>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</si>
  <si>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</si>
  <si>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</si>
  <si>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</si>
  <si>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</si>
  <si>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</si>
  <si>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</si>
  <si>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</si>
  <si>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</si>
  <si>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</si>
  <si>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</si>
  <si>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</si>
  <si>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</si>
  <si>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</si>
  <si>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</si>
  <si>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</si>
  <si>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</si>
  <si>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</si>
  <si>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</si>
  <si>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</si>
  <si>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</si>
  <si>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</si>
  <si>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</si>
  <si>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</si>
  <si>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</si>
  <si>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</si>
  <si>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</si>
  <si>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</si>
  <si>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</si>
  <si>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</si>
  <si>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</si>
  <si>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</si>
  <si>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</si>
  <si>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</si>
  <si>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</si>
  <si>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</si>
  <si>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</si>
  <si>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</si>
  <si>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</si>
  <si>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</si>
  <si>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</si>
  <si>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</si>
  <si>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</si>
  <si>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</si>
  <si>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</si>
  <si>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</si>
  <si>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</si>
  <si>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</si>
  <si>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</si>
  <si>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</si>
  <si>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</si>
  <si>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</si>
  <si>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</si>
  <si>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</si>
  <si>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</si>
  <si>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</si>
  <si>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</si>
  <si>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</si>
  <si>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</si>
  <si>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</si>
  <si>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</si>
  <si>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</si>
  <si>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</si>
  <si>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</si>
  <si>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</si>
  <si>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</si>
  <si>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</si>
  <si>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</si>
  <si>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</si>
  <si>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</si>
  <si>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</si>
  <si>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</si>
  <si>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</si>
  <si>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</si>
  <si>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</si>
  <si>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</si>
  <si>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</si>
  <si>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</si>
  <si>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</si>
  <si>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</si>
  <si>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</si>
  <si>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</si>
  <si>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</si>
  <si>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</si>
  <si>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</si>
  <si>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</si>
  <si>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</si>
  <si>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</si>
  <si>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</si>
  <si>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</si>
  <si>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</si>
  <si>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</si>
  <si>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</si>
  <si>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</si>
  <si>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</si>
  <si>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</si>
  <si>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</si>
  <si>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</si>
  <si>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</si>
  <si>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</si>
  <si>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</si>
  <si>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</si>
  <si>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</si>
  <si>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</si>
  <si>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</si>
  <si>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</si>
  <si>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</si>
  <si>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</si>
  <si>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</si>
  <si>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</si>
  <si>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</si>
  <si>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</si>
  <si>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</si>
  <si>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</si>
  <si>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</si>
  <si>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</si>
  <si>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</si>
  <si>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</si>
  <si>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</si>
  <si>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</si>
  <si>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</si>
  <si>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</si>
  <si>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</si>
  <si>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</si>
  <si>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</si>
  <si>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</si>
  <si>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</si>
  <si>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</si>
  <si>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</si>
  <si>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</si>
  <si>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</si>
  <si>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</si>
  <si>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</si>
  <si>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</si>
  <si>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</si>
  <si>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</si>
  <si>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</si>
  <si>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</si>
  <si>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</si>
  <si>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</si>
  <si>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</si>
  <si>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</si>
  <si>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</si>
  <si>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</si>
  <si>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</si>
  <si>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</si>
  <si>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</si>
  <si>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</si>
  <si>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</si>
  <si>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</si>
  <si>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</si>
  <si>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</si>
  <si>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</si>
  <si>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</si>
  <si>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</si>
  <si>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</si>
  <si>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</si>
  <si>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</si>
  <si>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</si>
  <si>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</si>
  <si>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</si>
  <si>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</si>
  <si>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</si>
  <si>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</si>
  <si>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</si>
  <si>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</si>
  <si>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</si>
  <si>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</si>
  <si>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</si>
  <si>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</si>
  <si>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</si>
  <si>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</si>
  <si>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</si>
  <si>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</si>
  <si>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</si>
  <si>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</si>
  <si>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</si>
  <si>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</si>
  <si>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</si>
  <si>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</si>
  <si>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</si>
  <si>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</si>
  <si>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</si>
  <si>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</si>
  <si>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</si>
  <si>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</si>
  <si>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</si>
  <si>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</si>
  <si>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</si>
  <si>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</si>
  <si>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</si>
  <si>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</si>
  <si>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</si>
  <si>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</si>
  <si>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</si>
  <si>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</si>
  <si>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</si>
  <si>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</si>
  <si>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</si>
  <si>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</si>
  <si>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</si>
  <si>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</si>
  <si>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</si>
  <si>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</si>
  <si>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</si>
  <si>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</si>
  <si>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</si>
  <si>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</si>
  <si>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</si>
  <si>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</si>
  <si>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</si>
  <si>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</si>
  <si>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</si>
  <si>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</si>
  <si>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</si>
  <si>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</si>
  <si>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</si>
  <si>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</si>
  <si>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</si>
  <si>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</si>
  <si>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</si>
  <si>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</si>
  <si>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</si>
  <si>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</si>
  <si>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</si>
  <si>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</si>
  <si>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</si>
  <si>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</si>
  <si>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</si>
  <si>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</si>
  <si>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</si>
  <si>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</si>
  <si>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</si>
  <si>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</si>
  <si>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</si>
  <si>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</si>
  <si>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</si>
  <si>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</si>
  <si>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</si>
  <si>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</si>
  <si>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</si>
  <si>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</si>
  <si>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</si>
  <si>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</si>
  <si>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</si>
  <si>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</si>
  <si>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</si>
  <si>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</si>
  <si>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</si>
  <si>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</si>
  <si>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</si>
  <si>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</si>
  <si>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</si>
  <si>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</si>
  <si>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</si>
  <si>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</si>
  <si>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</si>
  <si>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</si>
  <si>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</si>
  <si>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</si>
  <si>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</si>
  <si>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</si>
  <si>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</si>
  <si>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</si>
  <si>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</si>
  <si>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</si>
  <si>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</si>
  <si>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</si>
  <si>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</si>
  <si>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</si>
  <si>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</si>
  <si>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</si>
  <si>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</si>
  <si>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</si>
  <si>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</si>
  <si>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</si>
  <si>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</si>
  <si>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</si>
  <si>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</si>
  <si>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</si>
  <si>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</si>
  <si>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</si>
  <si>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</si>
  <si>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</si>
  <si>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</si>
  <si>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</si>
  <si>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</si>
  <si>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</si>
  <si>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</si>
  <si>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</si>
  <si>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</si>
  <si>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</si>
  <si>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</si>
  <si>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</si>
  <si>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</si>
  <si>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</si>
  <si>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</si>
  <si>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</si>
  <si>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</si>
  <si>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</si>
  <si>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</si>
  <si>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</si>
  <si>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</si>
  <si>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</si>
  <si>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</si>
  <si>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</si>
  <si>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</si>
  <si>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</si>
  <si>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</si>
  <si>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</si>
  <si>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</si>
  <si>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</si>
  <si>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</si>
  <si>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</si>
  <si>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</si>
  <si>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</si>
  <si>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</si>
  <si>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</si>
  <si>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</si>
  <si>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</si>
  <si>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</si>
  <si>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</si>
  <si>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</si>
  <si>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</si>
  <si>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</si>
  <si>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</si>
  <si>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</si>
  <si>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</si>
  <si>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</si>
  <si>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</si>
  <si>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</si>
  <si>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</si>
  <si>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</si>
  <si>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</si>
  <si>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</si>
  <si>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</si>
  <si>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</si>
  <si>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</si>
  <si>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</si>
  <si>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</si>
  <si>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</si>
  <si>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</si>
  <si>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</si>
  <si>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</si>
  <si>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</si>
  <si>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</si>
  <si>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</si>
  <si>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</si>
  <si>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</si>
  <si>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</si>
  <si>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</si>
  <si>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</si>
  <si>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</si>
  <si>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</si>
  <si>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</si>
  <si>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</si>
  <si>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</si>
  <si>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</si>
  <si>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</si>
  <si>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</si>
  <si>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</si>
  <si>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</si>
  <si>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</si>
  <si>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</si>
  <si>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</si>
  <si>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</si>
  <si>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</si>
  <si>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</si>
  <si>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</si>
  <si>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</si>
  <si>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</si>
  <si>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</si>
  <si>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</si>
  <si>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</si>
  <si>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</si>
  <si>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</si>
  <si>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</si>
  <si>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</si>
  <si>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</si>
  <si>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</si>
  <si>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</si>
  <si>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</si>
  <si>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</si>
  <si>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</si>
  <si>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</si>
  <si>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</si>
  <si>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</si>
  <si>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</si>
  <si>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</si>
  <si>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</si>
  <si>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</si>
  <si>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</si>
  <si>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</si>
  <si>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</si>
  <si>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</si>
  <si>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</si>
  <si>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</si>
  <si>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</si>
  <si>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</si>
  <si>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</si>
  <si>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</si>
  <si>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</si>
  <si>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</si>
  <si>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</si>
  <si>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</si>
  <si>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</si>
  <si>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</si>
  <si>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</si>
  <si>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</si>
  <si>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</si>
  <si>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</si>
  <si>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</si>
  <si>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</si>
  <si>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</si>
  <si>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</si>
  <si>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</si>
  <si>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</si>
  <si>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</si>
  <si>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</si>
  <si>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</si>
  <si>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</si>
  <si>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</si>
  <si>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</si>
  <si>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</si>
  <si>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</si>
  <si>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</si>
  <si>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</si>
  <si>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</si>
  <si>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</si>
  <si>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</si>
  <si>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</si>
  <si>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</si>
  <si>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</si>
  <si>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</si>
  <si>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</si>
  <si>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</si>
  <si>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</si>
  <si>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</si>
  <si>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</si>
  <si>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</si>
  <si>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</si>
  <si>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</si>
  <si>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</si>
  <si>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</si>
  <si>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</si>
  <si>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</si>
  <si>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</si>
  <si>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</si>
  <si>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</si>
  <si>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</si>
  <si>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</si>
  <si>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</si>
  <si>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</si>
  <si>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</si>
  <si>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</si>
  <si>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</si>
  <si>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</si>
  <si>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</si>
  <si>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</si>
  <si>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</si>
  <si>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</si>
  <si>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</si>
  <si>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</si>
  <si>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</si>
  <si>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</si>
  <si>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</si>
  <si>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</si>
  <si>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</si>
  <si>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</si>
  <si>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</si>
  <si>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</si>
  <si>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</si>
  <si>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</si>
  <si>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</si>
  <si>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</si>
  <si>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</si>
  <si>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</si>
  <si>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</si>
  <si>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</si>
  <si>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</si>
  <si>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</si>
  <si>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</si>
  <si>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</si>
  <si>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</si>
  <si>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</si>
  <si>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</si>
  <si>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</si>
  <si>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</si>
  <si>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</si>
  <si>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</si>
  <si>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</si>
  <si>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</si>
  <si>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</si>
  <si>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</si>
  <si>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</si>
  <si>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</si>
  <si>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</si>
  <si>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</si>
  <si>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</si>
  <si>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</si>
  <si>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</si>
  <si>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</si>
  <si>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</si>
  <si>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</si>
  <si>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</si>
  <si>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</si>
  <si>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</si>
  <si>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</si>
  <si>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</si>
  <si>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</si>
  <si>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</si>
  <si>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</si>
  <si>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</si>
  <si>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</si>
  <si>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</si>
  <si>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</si>
  <si>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</si>
  <si>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</si>
  <si>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</si>
  <si>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</si>
  <si>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</si>
  <si>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</si>
  <si>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</si>
  <si>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</si>
  <si>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</si>
  <si>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</si>
  <si>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</si>
  <si>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</si>
  <si>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</si>
  <si>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</si>
  <si>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</si>
  <si>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</si>
  <si>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</si>
  <si>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</si>
  <si>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</si>
  <si>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</si>
  <si>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</si>
  <si>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</si>
  <si>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</si>
  <si>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</si>
  <si>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</si>
  <si>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</si>
  <si>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</si>
  <si>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</si>
  <si>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</si>
  <si>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</si>
  <si>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</si>
  <si>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</si>
  <si>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</si>
  <si>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</si>
  <si>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</si>
  <si>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</si>
  <si>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</si>
  <si>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</si>
  <si>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</si>
  <si>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</si>
  <si>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</si>
  <si>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</si>
  <si>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</si>
  <si>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</si>
  <si>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</si>
  <si>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</si>
  <si>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</si>
  <si>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</si>
  <si>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</si>
  <si>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</si>
  <si>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</si>
  <si>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</si>
  <si>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</si>
  <si>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</si>
  <si>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</si>
  <si>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</si>
  <si>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</si>
  <si>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</si>
  <si>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</si>
  <si>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</si>
  <si>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</si>
  <si>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</si>
  <si>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</si>
  <si>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</si>
  <si>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</si>
  <si>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</si>
  <si>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</si>
  <si>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</si>
  <si>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</si>
  <si>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</si>
  <si>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</si>
  <si>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</si>
  <si>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</si>
  <si>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</si>
  <si>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</si>
  <si>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</si>
  <si>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</si>
  <si>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</si>
  <si>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</si>
  <si>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</si>
  <si>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</si>
  <si>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</si>
  <si>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</si>
  <si>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</si>
  <si>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</si>
  <si>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</si>
  <si>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</si>
  <si>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</si>
  <si>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</si>
  <si>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</si>
  <si>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</si>
  <si>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</si>
  <si>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</si>
  <si>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</si>
  <si>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</si>
  <si>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</si>
  <si>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</si>
  <si>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</si>
  <si>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</si>
  <si>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</si>
  <si>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</si>
  <si>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</si>
  <si>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</si>
  <si>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</si>
  <si>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</si>
  <si>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</si>
  <si>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</si>
  <si>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</si>
  <si>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</si>
  <si>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</si>
  <si>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</si>
  <si>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</si>
  <si>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</si>
  <si>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</si>
  <si>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</si>
  <si>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</si>
  <si>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</si>
  <si>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</si>
  <si>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</si>
  <si>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</si>
  <si>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</si>
  <si>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</si>
  <si>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</si>
  <si>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</si>
  <si>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</si>
  <si>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</si>
  <si>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</si>
  <si>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</si>
  <si>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</si>
  <si>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</si>
  <si>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</si>
  <si>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</si>
  <si>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</si>
  <si>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</si>
  <si>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</si>
  <si>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</si>
  <si>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</si>
  <si>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</si>
  <si>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</si>
  <si>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</si>
  <si>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</si>
  <si>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</si>
  <si>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</si>
  <si>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</si>
  <si>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</si>
  <si>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</si>
  <si>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</si>
  <si>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</si>
  <si>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</si>
  <si>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</si>
  <si>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</si>
  <si>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</si>
  <si>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</si>
  <si>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</si>
  <si>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</si>
  <si>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</si>
  <si>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</si>
  <si>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</si>
  <si>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</si>
  <si>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</si>
  <si>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</si>
  <si>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</si>
  <si>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</si>
  <si>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</si>
  <si>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</si>
  <si>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</si>
  <si>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</si>
  <si>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</si>
  <si>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</si>
  <si>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</si>
  <si>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</si>
  <si>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</si>
  <si>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</si>
  <si>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</si>
  <si>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</si>
  <si>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</si>
  <si>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</si>
  <si>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</si>
  <si>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</si>
  <si>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</si>
  <si>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</si>
  <si>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</si>
  <si>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</si>
  <si>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</si>
  <si>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</si>
  <si>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</si>
  <si>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</si>
  <si>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</si>
  <si>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</si>
  <si>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</si>
  <si>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</si>
  <si>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</si>
  <si>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</si>
  <si>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</si>
  <si>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</si>
  <si>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</si>
  <si>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</si>
  <si>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</si>
  <si>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</si>
  <si>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</si>
  <si>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</si>
  <si>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</si>
  <si>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</si>
  <si>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</si>
  <si>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</si>
  <si>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</si>
  <si>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</si>
  <si>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</si>
  <si>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</si>
  <si>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</si>
  <si>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</si>
  <si>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</si>
  <si>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</si>
  <si>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</si>
  <si>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</si>
  <si>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</si>
  <si>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</si>
  <si>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</si>
  <si>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</si>
  <si>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</si>
  <si>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</si>
  <si>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</si>
  <si>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</si>
  <si>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</si>
  <si>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</si>
  <si>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</si>
  <si>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</si>
  <si>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</si>
  <si>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</si>
  <si>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</si>
  <si>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</si>
  <si>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</si>
  <si>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</si>
  <si>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</si>
  <si>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</si>
  <si>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</si>
  <si>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</si>
  <si>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</si>
  <si>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</si>
  <si>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</si>
  <si>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</si>
  <si>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</si>
  <si>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</si>
  <si>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</si>
  <si>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</si>
  <si>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</si>
  <si>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</si>
  <si>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</si>
  <si>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</si>
  <si>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</si>
  <si>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</si>
  <si>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</si>
  <si>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</si>
  <si>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</si>
  <si>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</si>
  <si>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</si>
  <si>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</si>
  <si>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</si>
  <si>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</si>
  <si>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</si>
  <si>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</si>
  <si>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</si>
  <si>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</si>
  <si>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</si>
  <si>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</si>
  <si>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</si>
  <si>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</si>
  <si>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</si>
  <si>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</si>
  <si>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</si>
  <si>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</si>
  <si>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</si>
  <si>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</si>
  <si>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</si>
  <si>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</si>
  <si>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</si>
  <si>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</si>
  <si>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</si>
  <si>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</si>
  <si>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</si>
  <si>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</si>
  <si>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</si>
  <si>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</si>
  <si>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</si>
  <si>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</si>
  <si>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</si>
  <si>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</si>
  <si>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</si>
  <si>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</si>
  <si>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</si>
  <si>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</si>
  <si>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</si>
  <si>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</si>
  <si>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</si>
  <si>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</si>
  <si>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</si>
  <si>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</si>
  <si>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</si>
  <si>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</si>
  <si>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</si>
  <si>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</si>
  <si>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</si>
  <si>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</si>
  <si>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</si>
  <si>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</si>
  <si>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</si>
  <si>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</si>
  <si>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</si>
  <si>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</si>
  <si>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</si>
  <si>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</si>
  <si>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</si>
  <si>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</si>
  <si>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</si>
  <si>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</si>
  <si>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</si>
  <si>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</si>
  <si>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</si>
  <si>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</si>
  <si>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</si>
  <si>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</si>
  <si>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</si>
  <si>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</si>
  <si>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</si>
  <si>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</si>
  <si>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</si>
  <si>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</si>
  <si>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</si>
  <si>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</si>
  <si>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</si>
  <si>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</si>
  <si>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</si>
  <si>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</si>
  <si>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</si>
  <si>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</si>
  <si>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</si>
  <si>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</si>
  <si>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</si>
  <si>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</si>
  <si>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</si>
  <si>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</si>
  <si>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</si>
  <si>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</si>
  <si>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</si>
  <si>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</si>
  <si>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</si>
  <si>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</si>
  <si>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</si>
  <si>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</si>
  <si>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</si>
  <si>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</si>
  <si>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</si>
  <si>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</si>
  <si>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</si>
  <si>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</si>
  <si>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</si>
  <si>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</si>
  <si>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</si>
  <si>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</si>
  <si>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</si>
  <si>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</si>
  <si>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</si>
  <si>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</si>
  <si>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</si>
  <si>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</si>
  <si>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</si>
  <si>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</si>
  <si>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</si>
  <si>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</si>
  <si>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</si>
  <si>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</si>
  <si>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</si>
  <si>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</si>
  <si>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</si>
  <si>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</si>
  <si>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</si>
  <si>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</si>
  <si>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</si>
  <si>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</si>
  <si>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</si>
  <si>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</si>
  <si>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</si>
  <si>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</si>
  <si>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</si>
  <si>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</si>
  <si>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</si>
  <si>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</si>
  <si>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</si>
  <si>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</si>
  <si>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</si>
  <si>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</si>
  <si>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</si>
  <si>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</si>
  <si>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</si>
  <si>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</si>
  <si>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</si>
  <si>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</si>
  <si>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</si>
  <si>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</si>
  <si>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</si>
  <si>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</si>
  <si>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</si>
  <si>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</si>
  <si>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</si>
  <si>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</si>
  <si>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</si>
  <si>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</si>
  <si>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</si>
  <si>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</si>
  <si>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</si>
  <si>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</si>
  <si>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</si>
  <si>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</si>
  <si>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</si>
  <si>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</si>
  <si>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</si>
  <si>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</si>
  <si>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</si>
  <si>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</si>
  <si>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</si>
  <si>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</si>
  <si>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</si>
  <si>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</si>
  <si>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</si>
  <si>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</si>
  <si>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</si>
  <si>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</si>
  <si>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</si>
  <si>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</si>
  <si>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</si>
  <si>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</si>
  <si>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</si>
  <si>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</si>
  <si>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</si>
  <si>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</si>
  <si>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</si>
  <si>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</si>
  <si>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</si>
  <si>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</si>
  <si>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</si>
  <si>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</si>
  <si>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</si>
  <si>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</si>
  <si>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</si>
  <si>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</si>
  <si>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</si>
  <si>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</si>
  <si>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</si>
  <si>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</si>
  <si>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</si>
  <si>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</si>
  <si>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</si>
  <si>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</si>
  <si>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</si>
  <si>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</si>
  <si>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</si>
  <si>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</si>
  <si>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</si>
  <si>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</si>
  <si>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</si>
  <si>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</si>
  <si>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</si>
  <si>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</si>
  <si>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</si>
  <si>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</si>
  <si>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</si>
  <si>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</si>
  <si>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</si>
  <si>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</si>
  <si>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</si>
  <si>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</si>
  <si>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</si>
  <si>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</si>
  <si>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</si>
  <si>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</si>
  <si>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</si>
  <si>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</si>
  <si>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</si>
  <si>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</si>
  <si>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</si>
  <si>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</si>
  <si>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</si>
  <si>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</si>
  <si>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</si>
  <si>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</si>
  <si>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</si>
  <si>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</si>
  <si>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</si>
  <si>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</si>
  <si>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</si>
  <si>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</si>
  <si>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</si>
  <si>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</si>
  <si>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</si>
  <si>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</si>
  <si>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</si>
  <si>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</si>
  <si>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</si>
  <si>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</si>
  <si>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</si>
  <si>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</si>
  <si>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</si>
  <si>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</si>
  <si>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</si>
  <si>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</si>
  <si>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</si>
  <si>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</si>
  <si>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</si>
  <si>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</si>
  <si>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</si>
  <si>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</si>
  <si>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</si>
  <si>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</si>
  <si>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</si>
  <si>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</si>
  <si>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</si>
  <si>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</si>
  <si>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</si>
  <si>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</si>
  <si>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</si>
  <si>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</si>
  <si>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</si>
  <si>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</si>
  <si>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</si>
  <si>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</si>
  <si>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</si>
  <si>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</si>
  <si>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</si>
  <si>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</si>
  <si>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</si>
  <si>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</si>
  <si>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</si>
  <si>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</si>
  <si>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</si>
  <si>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</si>
  <si>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</si>
  <si>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</si>
  <si>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</si>
  <si>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</si>
  <si>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</si>
  <si>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</si>
  <si>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</si>
  <si>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</si>
  <si>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</si>
  <si>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</si>
  <si>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</si>
  <si>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</si>
  <si>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</si>
  <si>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</si>
  <si>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</si>
  <si>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</si>
  <si>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</si>
  <si>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</si>
  <si>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</si>
  <si>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</si>
  <si>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</si>
  <si>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</si>
  <si>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</si>
  <si>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</si>
  <si>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</si>
  <si>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</si>
  <si>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</si>
  <si>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</si>
  <si>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</si>
  <si>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</si>
  <si>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</si>
  <si>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</si>
  <si>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</si>
  <si>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</si>
  <si>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</si>
  <si>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</si>
  <si>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</si>
  <si>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</si>
  <si>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</si>
  <si>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</si>
  <si>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</si>
  <si>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</si>
  <si>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</si>
  <si>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</si>
  <si>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</si>
  <si>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</si>
  <si>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</si>
  <si>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</si>
  <si>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</si>
  <si>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</si>
  <si>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</si>
  <si>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</si>
  <si>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</si>
  <si>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</si>
  <si>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</si>
  <si>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</si>
  <si>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</si>
  <si>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</si>
  <si>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</si>
  <si>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</si>
  <si>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</si>
  <si>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</si>
  <si>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</si>
  <si>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</si>
  <si>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</si>
  <si>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</si>
  <si>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</si>
  <si>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</si>
  <si>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</si>
  <si>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</si>
  <si>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</si>
  <si>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</si>
  <si>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</si>
  <si>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</si>
  <si>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</si>
  <si>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</si>
  <si>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</si>
  <si>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</si>
  <si>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</si>
  <si>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</si>
  <si>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</si>
  <si>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</si>
  <si>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</si>
  <si>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</si>
  <si>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</si>
  <si>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</si>
  <si>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</si>
  <si>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</si>
  <si>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</si>
  <si>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</si>
  <si>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</si>
  <si>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</si>
  <si>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</si>
  <si>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</si>
  <si>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</si>
  <si>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</si>
  <si>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</si>
  <si>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</si>
  <si>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</si>
  <si>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</si>
  <si>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</si>
  <si>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</si>
  <si>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</si>
  <si>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</si>
  <si>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</si>
  <si>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</si>
  <si>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</si>
  <si>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</si>
  <si>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</si>
  <si>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</si>
  <si>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</si>
  <si>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</si>
  <si>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</si>
  <si>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</si>
  <si>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</si>
  <si>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</si>
  <si>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</si>
  <si>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</si>
  <si>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</si>
  <si>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</si>
  <si>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</si>
  <si>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</si>
  <si>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</si>
  <si>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</si>
  <si>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</si>
  <si>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</si>
  <si>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</si>
  <si>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</si>
  <si>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</si>
  <si>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</si>
  <si>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</si>
  <si>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</si>
  <si>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</si>
  <si>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</si>
  <si>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</si>
  <si>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</si>
  <si>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</si>
  <si>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</si>
  <si>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</si>
  <si>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</si>
  <si>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</si>
  <si>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</si>
  <si>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</si>
  <si>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</si>
  <si>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</si>
  <si>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</si>
  <si>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</si>
  <si>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</si>
  <si>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</si>
  <si>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</si>
  <si>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</si>
  <si>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</si>
  <si>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</si>
  <si>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</si>
  <si>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</si>
  <si>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</si>
  <si>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</si>
  <si>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</si>
  <si>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</si>
  <si>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</si>
  <si>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</si>
  <si>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</si>
  <si>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</si>
  <si>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</si>
  <si>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</si>
  <si>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</si>
  <si>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</si>
  <si>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</si>
  <si>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</si>
  <si>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</si>
  <si>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</si>
  <si>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</si>
  <si>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</si>
  <si>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</si>
  <si>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</si>
  <si>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</si>
  <si>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</si>
  <si>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</si>
  <si>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</si>
  <si>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</si>
  <si>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</si>
  <si>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</si>
  <si>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</si>
  <si>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</si>
  <si>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</si>
  <si>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</si>
  <si>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</si>
  <si>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</si>
  <si>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</si>
  <si>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</si>
  <si>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</si>
  <si>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</si>
  <si>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</si>
  <si>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</si>
  <si>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</si>
  <si>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</si>
  <si>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</si>
  <si>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</si>
  <si>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</si>
  <si>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</si>
  <si>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</si>
  <si>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</si>
  <si>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</si>
  <si>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</si>
  <si>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</si>
  <si>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</si>
  <si>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</si>
  <si>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</si>
  <si>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</si>
  <si>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</si>
  <si>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</si>
  <si>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</si>
  <si>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</si>
  <si>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</si>
  <si>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</si>
  <si>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</si>
  <si>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</si>
  <si>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</si>
  <si>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</si>
  <si>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</si>
  <si>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</si>
  <si>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</si>
  <si>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</si>
  <si>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</si>
  <si>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</si>
  <si>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</si>
  <si>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</si>
  <si>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</si>
  <si>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</si>
  <si>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</si>
  <si>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</si>
  <si>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</si>
  <si>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</si>
  <si>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</si>
  <si>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</si>
  <si>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</si>
  <si>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</si>
  <si>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</si>
  <si>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</si>
  <si>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</si>
  <si>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</si>
  <si>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</si>
  <si>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</si>
  <si>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</si>
  <si>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</si>
  <si>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</si>
  <si>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</si>
  <si>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</si>
  <si>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</si>
  <si>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</si>
  <si>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</si>
  <si>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</si>
  <si>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</si>
  <si>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</si>
  <si>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</si>
  <si>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</si>
  <si>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</si>
  <si>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</si>
  <si>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</si>
  <si>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</si>
  <si>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</si>
  <si>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</si>
  <si>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</si>
  <si>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</si>
  <si>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</si>
  <si>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</si>
  <si>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</si>
  <si>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</si>
  <si>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</si>
  <si>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</si>
  <si>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</si>
  <si>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</si>
  <si>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</si>
  <si>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</si>
  <si>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</si>
  <si>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</si>
  <si>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</si>
  <si>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</si>
  <si>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</si>
  <si>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</si>
  <si>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</si>
  <si>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</si>
  <si>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</si>
  <si>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</si>
  <si>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</si>
  <si>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</si>
  <si>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</si>
  <si>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</si>
  <si>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</si>
  <si>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</si>
  <si>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</si>
  <si>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</si>
  <si>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</si>
  <si>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</si>
  <si>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</si>
  <si>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</si>
  <si>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</si>
  <si>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</si>
  <si>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</si>
  <si>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</si>
  <si>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</si>
  <si>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</si>
  <si>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</si>
  <si>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</si>
  <si>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</si>
  <si>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</si>
  <si>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</si>
  <si>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</si>
  <si>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</si>
  <si>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</si>
  <si>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</si>
  <si>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</si>
  <si>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</si>
  <si>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</si>
  <si>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</si>
  <si>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</si>
  <si>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</si>
  <si>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</si>
  <si>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</si>
  <si>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</si>
  <si>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</si>
  <si>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</si>
  <si>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</si>
  <si>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</si>
  <si>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</si>
  <si>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</si>
  <si>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</si>
  <si>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</si>
  <si>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</si>
  <si>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</si>
  <si>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</si>
  <si>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</si>
  <si>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</si>
  <si>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</si>
  <si>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</si>
  <si>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</si>
  <si>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</si>
  <si>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</si>
  <si>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</si>
  <si>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</si>
  <si>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</si>
  <si>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</si>
  <si>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</si>
  <si>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</si>
  <si>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</si>
  <si>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</si>
  <si>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</si>
  <si>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</si>
  <si>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</si>
  <si>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</si>
  <si>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</si>
  <si>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</si>
  <si>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</si>
  <si>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</si>
  <si>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</si>
  <si>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</si>
  <si>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</si>
  <si>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</si>
  <si>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</si>
  <si>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</si>
  <si>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</si>
  <si>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</si>
  <si>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</si>
  <si>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</si>
  <si>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</si>
  <si>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</si>
  <si>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</si>
  <si>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</si>
  <si>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</si>
  <si>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</si>
  <si>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</si>
  <si>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</si>
  <si>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</si>
  <si>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</si>
  <si>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</si>
  <si>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</si>
  <si>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</si>
  <si>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</si>
  <si>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</si>
  <si>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</si>
  <si>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</si>
  <si>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</si>
  <si>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</si>
  <si>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</si>
  <si>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</si>
  <si>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</si>
  <si>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</si>
  <si>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</si>
  <si>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</si>
  <si>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</si>
  <si>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</si>
  <si>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</si>
  <si>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</si>
  <si>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</si>
  <si>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</si>
  <si>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</si>
  <si>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</si>
  <si>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</si>
  <si>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</si>
  <si>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</si>
  <si>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</si>
  <si>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</si>
  <si>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</si>
  <si>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</si>
  <si>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</si>
  <si>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</si>
  <si>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</si>
  <si>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</si>
  <si>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</si>
  <si>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</si>
  <si>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</si>
  <si>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</si>
  <si>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</si>
  <si>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</si>
  <si>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</si>
  <si>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</si>
  <si>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</si>
  <si>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</si>
  <si>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</si>
  <si>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</si>
  <si>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</si>
  <si>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</si>
  <si>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</si>
  <si>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</si>
  <si>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</si>
  <si>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</si>
  <si>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</si>
  <si>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</si>
  <si>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</si>
  <si>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</si>
  <si>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</si>
  <si>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Leiton GmbH</t>
  </si>
  <si>
    <t>Wolframstraße 96, 12105 Berlin, GERMANY</t>
  </si>
  <si>
    <t>Marcus Knopp</t>
  </si>
  <si>
    <t>kontakt@leiton.de</t>
  </si>
  <si>
    <t>+49 030 7017349-0</t>
  </si>
  <si>
    <t>Managing Director</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</si>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</sst>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3"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42"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 xfId="487" builtinId="8"/>
    <cellStyle name="Linked Cell 2" xfId="496" xr:uid="{00000000-0005-0000-0000-0000EF010000}"/>
    <cellStyle name="Neutral 2" xfId="497" xr:uid="{00000000-0005-0000-0000-0000F001000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xfId="0" builtinId="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kontakt@leiton.de"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kontakt@leiton.de"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baseColWidth="10"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09"/>
      <c r="B2" s="4" t="s">
        <v>807</v>
      </c>
      <c r="C2" s="2"/>
      <c r="D2" s="159"/>
      <c r="E2" s="2"/>
      <c r="F2" s="2"/>
      <c r="G2" s="24"/>
    </row>
    <row r="3" spans="1:7">
      <c r="A3" s="309"/>
      <c r="B3" s="2" t="s">
        <v>800</v>
      </c>
      <c r="C3" s="4"/>
      <c r="D3" s="160"/>
      <c r="E3" s="2"/>
      <c r="F3" s="4"/>
      <c r="G3" s="24"/>
    </row>
    <row r="4" spans="1:7" ht="15.75">
      <c r="A4" s="309"/>
      <c r="B4" s="27" t="s">
        <v>809</v>
      </c>
      <c r="C4" s="5"/>
      <c r="D4" s="161"/>
      <c r="E4" s="2"/>
      <c r="F4" s="5"/>
      <c r="G4" s="24"/>
    </row>
    <row r="5" spans="1:7">
      <c r="A5" s="309"/>
      <c r="B5" s="26" t="s">
        <v>998</v>
      </c>
      <c r="C5" s="3"/>
      <c r="D5" s="162"/>
      <c r="E5" s="2"/>
      <c r="F5" s="3"/>
      <c r="G5" s="24"/>
    </row>
    <row r="6" spans="1:7">
      <c r="A6" s="309"/>
      <c r="B6" s="2"/>
      <c r="C6" s="2"/>
      <c r="D6" s="159"/>
      <c r="E6" s="2"/>
      <c r="F6" s="2"/>
      <c r="G6" s="24"/>
    </row>
    <row r="7" spans="1:7">
      <c r="A7" s="309"/>
      <c r="B7" s="2"/>
      <c r="C7" s="2"/>
      <c r="D7" s="159"/>
      <c r="E7" s="2"/>
      <c r="F7" s="2"/>
      <c r="G7" s="24"/>
    </row>
    <row r="8" spans="1:7">
      <c r="A8" s="309"/>
      <c r="B8" s="2"/>
      <c r="C8" s="2"/>
      <c r="D8" s="159"/>
      <c r="E8" s="2"/>
      <c r="F8" s="2"/>
      <c r="G8" s="24"/>
    </row>
    <row r="9" spans="1:7">
      <c r="A9" s="309"/>
      <c r="B9" s="312" t="s">
        <v>810</v>
      </c>
      <c r="C9" s="312"/>
      <c r="D9" s="312"/>
      <c r="E9" s="312"/>
      <c r="F9" s="312"/>
      <c r="G9" s="24"/>
    </row>
    <row r="10" spans="1:7" ht="27" customHeight="1">
      <c r="A10" s="309"/>
      <c r="B10" s="313" t="s">
        <v>423</v>
      </c>
      <c r="C10" s="313"/>
      <c r="D10" s="313"/>
      <c r="E10" s="313"/>
      <c r="F10" s="313"/>
      <c r="G10" s="24"/>
    </row>
    <row r="11" spans="1:7" ht="27" customHeight="1">
      <c r="A11" s="309"/>
      <c r="B11" s="314"/>
      <c r="C11" s="314"/>
      <c r="D11" s="314"/>
      <c r="E11" s="314"/>
      <c r="F11" s="314"/>
      <c r="G11" s="24"/>
    </row>
    <row r="12" spans="1:7">
      <c r="A12" s="309"/>
      <c r="B12" s="28" t="s">
        <v>808</v>
      </c>
      <c r="C12" s="29" t="s">
        <v>811</v>
      </c>
      <c r="D12" s="163" t="s">
        <v>812</v>
      </c>
      <c r="E12" s="29" t="s">
        <v>593</v>
      </c>
      <c r="F12" s="29" t="s">
        <v>594</v>
      </c>
      <c r="G12" s="24"/>
    </row>
    <row r="13" spans="1:7" ht="33.75">
      <c r="A13" s="309"/>
      <c r="B13" s="275">
        <v>1</v>
      </c>
      <c r="C13" s="276" t="s">
        <v>1046</v>
      </c>
      <c r="D13" s="277" t="s">
        <v>836</v>
      </c>
      <c r="E13" s="278" t="s">
        <v>813</v>
      </c>
      <c r="F13" s="278"/>
      <c r="G13" s="24"/>
    </row>
    <row r="14" spans="1:7" ht="56.25">
      <c r="A14" s="309"/>
      <c r="B14" s="275">
        <v>2</v>
      </c>
      <c r="C14" s="276" t="s">
        <v>1046</v>
      </c>
      <c r="D14" s="277" t="s">
        <v>983</v>
      </c>
      <c r="E14" s="278" t="s">
        <v>513</v>
      </c>
      <c r="F14" s="278" t="s">
        <v>514</v>
      </c>
      <c r="G14" s="24"/>
    </row>
    <row r="15" spans="1:7" ht="89.1" customHeight="1">
      <c r="A15" s="309"/>
      <c r="B15" s="294">
        <v>2.0099999999999998</v>
      </c>
      <c r="C15" s="306" t="s">
        <v>1046</v>
      </c>
      <c r="D15" s="315" t="s">
        <v>2150</v>
      </c>
      <c r="E15" s="279" t="s">
        <v>595</v>
      </c>
      <c r="F15" s="279" t="s">
        <v>598</v>
      </c>
      <c r="G15" s="24"/>
    </row>
    <row r="16" spans="1:7" ht="99" customHeight="1">
      <c r="A16" s="309"/>
      <c r="B16" s="295"/>
      <c r="C16" s="307"/>
      <c r="D16" s="316"/>
      <c r="E16" s="280"/>
      <c r="F16" s="280" t="s">
        <v>596</v>
      </c>
      <c r="G16" s="24"/>
    </row>
    <row r="17" spans="1:7" ht="63" customHeight="1">
      <c r="A17" s="309"/>
      <c r="B17" s="296"/>
      <c r="C17" s="308"/>
      <c r="D17" s="317"/>
      <c r="E17" s="276"/>
      <c r="F17" s="276" t="s">
        <v>597</v>
      </c>
      <c r="G17" s="24"/>
    </row>
    <row r="18" spans="1:7" ht="117" customHeight="1">
      <c r="A18" s="309"/>
      <c r="B18" s="294">
        <v>2.02</v>
      </c>
      <c r="C18" s="306" t="s">
        <v>1046</v>
      </c>
      <c r="D18" s="315" t="s">
        <v>2151</v>
      </c>
      <c r="E18" s="279" t="s">
        <v>424</v>
      </c>
      <c r="F18" s="279" t="s">
        <v>508</v>
      </c>
      <c r="G18" s="24"/>
    </row>
    <row r="19" spans="1:7" ht="71.099999999999994" customHeight="1">
      <c r="A19" s="309"/>
      <c r="B19" s="295"/>
      <c r="C19" s="307"/>
      <c r="D19" s="316"/>
      <c r="E19" s="280" t="s">
        <v>512</v>
      </c>
      <c r="F19" s="280" t="s">
        <v>425</v>
      </c>
      <c r="G19" s="24"/>
    </row>
    <row r="20" spans="1:7" ht="90.75" customHeight="1">
      <c r="A20" s="309"/>
      <c r="B20" s="295"/>
      <c r="C20" s="307"/>
      <c r="D20" s="316"/>
      <c r="E20" s="280"/>
      <c r="F20" s="280" t="s">
        <v>600</v>
      </c>
      <c r="G20" s="24"/>
    </row>
    <row r="21" spans="1:7" ht="74.25" customHeight="1">
      <c r="A21" s="309"/>
      <c r="B21" s="296"/>
      <c r="C21" s="308"/>
      <c r="D21" s="317"/>
      <c r="E21" s="276"/>
      <c r="F21" s="276" t="s">
        <v>599</v>
      </c>
      <c r="G21" s="24"/>
    </row>
    <row r="22" spans="1:7" ht="90" customHeight="1">
      <c r="A22" s="309"/>
      <c r="B22" s="300">
        <v>2.0299999999999998</v>
      </c>
      <c r="C22" s="300" t="s">
        <v>783</v>
      </c>
      <c r="D22" s="303" t="s">
        <v>2152</v>
      </c>
      <c r="E22" s="306" t="s">
        <v>422</v>
      </c>
      <c r="F22" s="279" t="s">
        <v>445</v>
      </c>
      <c r="G22" s="24"/>
    </row>
    <row r="23" spans="1:7" ht="109.5" customHeight="1">
      <c r="A23" s="309"/>
      <c r="B23" s="301"/>
      <c r="C23" s="301"/>
      <c r="D23" s="304"/>
      <c r="E23" s="307"/>
      <c r="F23" s="280" t="s">
        <v>784</v>
      </c>
      <c r="G23" s="24"/>
    </row>
    <row r="24" spans="1:7" ht="74.25" customHeight="1">
      <c r="A24" s="309"/>
      <c r="B24" s="302"/>
      <c r="C24" s="302"/>
      <c r="D24" s="305"/>
      <c r="E24" s="308"/>
      <c r="F24" s="276" t="s">
        <v>421</v>
      </c>
      <c r="G24" s="24"/>
    </row>
    <row r="25" spans="1:7" ht="72" customHeight="1">
      <c r="A25" s="309"/>
      <c r="B25" s="275" t="s">
        <v>443</v>
      </c>
      <c r="C25" s="276" t="s">
        <v>444</v>
      </c>
      <c r="D25" s="277" t="s">
        <v>2153</v>
      </c>
      <c r="E25" s="276" t="s">
        <v>2148</v>
      </c>
      <c r="F25" s="276" t="s">
        <v>446</v>
      </c>
      <c r="G25" s="24"/>
    </row>
    <row r="26" spans="1:7" ht="98.1" customHeight="1">
      <c r="A26" s="309"/>
      <c r="B26" s="297">
        <v>3</v>
      </c>
      <c r="C26" s="294" t="s">
        <v>66</v>
      </c>
      <c r="D26" s="315" t="s">
        <v>2154</v>
      </c>
      <c r="E26" s="306" t="s">
        <v>0</v>
      </c>
      <c r="F26" s="279" t="s">
        <v>60</v>
      </c>
      <c r="G26" s="24"/>
    </row>
    <row r="27" spans="1:7" ht="90" customHeight="1">
      <c r="A27" s="309"/>
      <c r="B27" s="298"/>
      <c r="C27" s="295"/>
      <c r="D27" s="316"/>
      <c r="E27" s="307"/>
      <c r="F27" s="280" t="s">
        <v>55</v>
      </c>
      <c r="G27" s="24"/>
    </row>
    <row r="28" spans="1:7" ht="19.350000000000001" customHeight="1">
      <c r="A28" s="309"/>
      <c r="B28" s="298"/>
      <c r="C28" s="295"/>
      <c r="D28" s="316"/>
      <c r="E28" s="307"/>
      <c r="F28" s="280" t="s">
        <v>56</v>
      </c>
      <c r="G28" s="24"/>
    </row>
    <row r="29" spans="1:7" ht="74.45" customHeight="1">
      <c r="A29" s="309"/>
      <c r="B29" s="298"/>
      <c r="C29" s="295"/>
      <c r="D29" s="316"/>
      <c r="E29" s="307"/>
      <c r="F29" s="280" t="s">
        <v>57</v>
      </c>
      <c r="G29" s="24"/>
    </row>
    <row r="30" spans="1:7" ht="62.45" customHeight="1">
      <c r="A30" s="309"/>
      <c r="B30" s="298"/>
      <c r="C30" s="295"/>
      <c r="D30" s="316"/>
      <c r="E30" s="307"/>
      <c r="F30" s="280" t="s">
        <v>58</v>
      </c>
      <c r="G30" s="24"/>
    </row>
    <row r="31" spans="1:7" ht="81" customHeight="1">
      <c r="A31" s="309"/>
      <c r="B31" s="298"/>
      <c r="C31" s="295"/>
      <c r="D31" s="316"/>
      <c r="E31" s="307"/>
      <c r="F31" s="280" t="s">
        <v>59</v>
      </c>
      <c r="G31" s="24"/>
    </row>
    <row r="32" spans="1:7" ht="48.75" customHeight="1">
      <c r="A32" s="309"/>
      <c r="B32" s="298"/>
      <c r="C32" s="295"/>
      <c r="D32" s="316"/>
      <c r="E32" s="307"/>
      <c r="F32" s="280" t="s">
        <v>62</v>
      </c>
      <c r="G32" s="24"/>
    </row>
    <row r="33" spans="1:7" ht="98.45" customHeight="1">
      <c r="A33" s="309"/>
      <c r="B33" s="298"/>
      <c r="C33" s="295"/>
      <c r="D33" s="316"/>
      <c r="E33" s="307"/>
      <c r="F33" s="280" t="s">
        <v>61</v>
      </c>
      <c r="G33" s="24"/>
    </row>
    <row r="34" spans="1:7" ht="89.1" customHeight="1">
      <c r="A34" s="309"/>
      <c r="B34" s="298"/>
      <c r="C34" s="295"/>
      <c r="D34" s="316"/>
      <c r="E34" s="307"/>
      <c r="F34" s="280" t="s">
        <v>63</v>
      </c>
      <c r="G34" s="24"/>
    </row>
    <row r="35" spans="1:7" ht="29.1" customHeight="1">
      <c r="A35" s="309"/>
      <c r="B35" s="298"/>
      <c r="C35" s="295"/>
      <c r="D35" s="316"/>
      <c r="E35" s="307"/>
      <c r="F35" s="280" t="s">
        <v>64</v>
      </c>
      <c r="G35" s="24"/>
    </row>
    <row r="36" spans="1:7" ht="147">
      <c r="A36" s="309"/>
      <c r="B36" s="299"/>
      <c r="C36" s="296"/>
      <c r="D36" s="317"/>
      <c r="E36" s="308"/>
      <c r="F36" s="282" t="s">
        <v>65</v>
      </c>
      <c r="G36" s="24"/>
    </row>
    <row r="37" spans="1:7" ht="157.5">
      <c r="A37" s="309"/>
      <c r="B37" s="281">
        <v>3.01</v>
      </c>
      <c r="C37" s="283" t="s">
        <v>66</v>
      </c>
      <c r="D37" s="277" t="s">
        <v>2155</v>
      </c>
      <c r="E37" s="284" t="s">
        <v>1282</v>
      </c>
      <c r="F37" s="285" t="s">
        <v>1384</v>
      </c>
      <c r="G37" s="24"/>
    </row>
    <row r="38" spans="1:7" ht="146.25">
      <c r="A38" s="309"/>
      <c r="B38" s="281">
        <v>3.02</v>
      </c>
      <c r="C38" s="283" t="s">
        <v>1314</v>
      </c>
      <c r="D38" s="277" t="s">
        <v>2156</v>
      </c>
      <c r="E38" s="284" t="s">
        <v>1329</v>
      </c>
      <c r="F38" s="285" t="s">
        <v>1385</v>
      </c>
      <c r="G38" s="24"/>
    </row>
    <row r="39" spans="1:7" ht="112.5">
      <c r="A39" s="309"/>
      <c r="B39" s="286">
        <v>4</v>
      </c>
      <c r="C39" s="287" t="s">
        <v>1480</v>
      </c>
      <c r="D39" s="277" t="s">
        <v>2157</v>
      </c>
      <c r="E39" s="276" t="s">
        <v>2104</v>
      </c>
      <c r="F39" s="276" t="s">
        <v>1481</v>
      </c>
      <c r="G39" s="24"/>
    </row>
    <row r="40" spans="1:7" ht="67.5">
      <c r="A40" s="309"/>
      <c r="B40" s="281">
        <v>4.01</v>
      </c>
      <c r="C40" s="287" t="s">
        <v>1480</v>
      </c>
      <c r="D40" s="277" t="s">
        <v>2159</v>
      </c>
      <c r="E40" s="276" t="s">
        <v>2116</v>
      </c>
      <c r="F40" s="276" t="s">
        <v>2120</v>
      </c>
      <c r="G40" s="24"/>
    </row>
    <row r="41" spans="1:7" ht="67.5">
      <c r="A41" s="309"/>
      <c r="B41" s="281" t="s">
        <v>2146</v>
      </c>
      <c r="C41" s="287" t="s">
        <v>1480</v>
      </c>
      <c r="D41" s="277" t="s">
        <v>2158</v>
      </c>
      <c r="E41" s="276" t="s">
        <v>2149</v>
      </c>
      <c r="F41" s="276" t="s">
        <v>2147</v>
      </c>
      <c r="G41" s="24"/>
    </row>
    <row r="42" spans="1:7" ht="67.5">
      <c r="A42" s="309"/>
      <c r="B42" s="281" t="s">
        <v>2173</v>
      </c>
      <c r="C42" s="287" t="s">
        <v>1480</v>
      </c>
      <c r="D42" s="277" t="s">
        <v>2178</v>
      </c>
      <c r="E42" s="276" t="s">
        <v>2148</v>
      </c>
      <c r="F42" s="276" t="s">
        <v>2174</v>
      </c>
      <c r="G42" s="24"/>
    </row>
    <row r="43" spans="1:7" ht="191.25">
      <c r="A43" s="309"/>
      <c r="B43" s="288">
        <v>4.0999999999999996</v>
      </c>
      <c r="C43" s="287" t="s">
        <v>2177</v>
      </c>
      <c r="D43" s="289">
        <v>42867</v>
      </c>
      <c r="E43" s="290" t="s">
        <v>2180</v>
      </c>
      <c r="F43" s="276" t="s">
        <v>2179</v>
      </c>
      <c r="G43" s="24"/>
    </row>
    <row r="44" spans="1:7" ht="112.5">
      <c r="A44" s="309"/>
      <c r="B44" s="288">
        <v>4.2</v>
      </c>
      <c r="C44" s="287" t="s">
        <v>2177</v>
      </c>
      <c r="D44" s="289">
        <v>42704</v>
      </c>
      <c r="E44" s="290" t="s">
        <v>2369</v>
      </c>
      <c r="F44" s="276" t="s">
        <v>2344</v>
      </c>
      <c r="G44" s="24"/>
    </row>
    <row r="45" spans="1:7" ht="213.75">
      <c r="A45" s="309"/>
      <c r="B45" s="291">
        <v>5</v>
      </c>
      <c r="C45" s="287" t="s">
        <v>2177</v>
      </c>
      <c r="D45" s="289">
        <v>42867</v>
      </c>
      <c r="E45" s="290" t="s">
        <v>12256</v>
      </c>
      <c r="F45" s="276" t="s">
        <v>11978</v>
      </c>
      <c r="G45" s="24"/>
    </row>
    <row r="46" spans="1:7" ht="56.25">
      <c r="A46" s="309"/>
      <c r="B46" s="288">
        <v>5.01</v>
      </c>
      <c r="C46" s="287" t="s">
        <v>2177</v>
      </c>
      <c r="D46" s="289">
        <v>42907</v>
      </c>
      <c r="E46" s="290" t="s">
        <v>14886</v>
      </c>
      <c r="F46" s="276" t="s">
        <v>11978</v>
      </c>
      <c r="G46" s="24"/>
    </row>
    <row r="47" spans="1:7" ht="101.25">
      <c r="A47" s="309"/>
      <c r="B47" s="288">
        <v>5.0999999999999996</v>
      </c>
      <c r="C47" s="287" t="s">
        <v>2177</v>
      </c>
      <c r="D47" s="289">
        <v>43070</v>
      </c>
      <c r="E47" s="290" t="s">
        <v>12456</v>
      </c>
      <c r="F47" s="276" t="s">
        <v>12457</v>
      </c>
      <c r="G47" s="24"/>
    </row>
    <row r="48" spans="1:7" ht="90">
      <c r="A48" s="309"/>
      <c r="B48" s="288">
        <v>5.1100000000000003</v>
      </c>
      <c r="C48" s="287" t="s">
        <v>12684</v>
      </c>
      <c r="D48" s="289">
        <v>43217</v>
      </c>
      <c r="E48" s="290" t="s">
        <v>12786</v>
      </c>
      <c r="F48" s="276" t="s">
        <v>12711</v>
      </c>
      <c r="G48" s="24"/>
    </row>
    <row r="49" spans="1:7" ht="90">
      <c r="A49" s="309"/>
      <c r="B49" s="288">
        <v>5.12</v>
      </c>
      <c r="C49" s="287" t="s">
        <v>12684</v>
      </c>
      <c r="D49" s="289">
        <v>43581</v>
      </c>
      <c r="E49" s="290" t="s">
        <v>12786</v>
      </c>
      <c r="F49" s="276" t="s">
        <v>13315</v>
      </c>
      <c r="G49" s="24"/>
    </row>
    <row r="50" spans="1:7" ht="112.5">
      <c r="A50" s="309"/>
      <c r="B50" s="291">
        <v>6</v>
      </c>
      <c r="C50" s="287" t="s">
        <v>12684</v>
      </c>
      <c r="D50" s="289">
        <v>43964</v>
      </c>
      <c r="E50" s="290" t="s">
        <v>13527</v>
      </c>
      <c r="F50" s="276" t="s">
        <v>13318</v>
      </c>
      <c r="G50" s="24"/>
    </row>
    <row r="51" spans="1:7" ht="56.25">
      <c r="A51" s="309"/>
      <c r="B51" s="288">
        <v>6.01</v>
      </c>
      <c r="C51" s="287" t="s">
        <v>12684</v>
      </c>
      <c r="D51" s="289">
        <v>43970</v>
      </c>
      <c r="E51" s="290" t="s">
        <v>14887</v>
      </c>
      <c r="F51" s="290" t="s">
        <v>13318</v>
      </c>
      <c r="G51" s="24"/>
    </row>
    <row r="52" spans="1:7" ht="56.25">
      <c r="A52" s="309"/>
      <c r="B52" s="288">
        <v>6.1</v>
      </c>
      <c r="C52" s="287" t="s">
        <v>12684</v>
      </c>
      <c r="D52" s="289">
        <v>44314</v>
      </c>
      <c r="E52" s="290" t="s">
        <v>14880</v>
      </c>
      <c r="F52" s="290" t="s">
        <v>14487</v>
      </c>
      <c r="G52" s="24"/>
    </row>
    <row r="53" spans="1:7" ht="56.25">
      <c r="A53" s="309"/>
      <c r="B53" s="288">
        <v>6.2</v>
      </c>
      <c r="C53" s="287" t="s">
        <v>12684</v>
      </c>
      <c r="D53" s="289">
        <v>44678</v>
      </c>
      <c r="E53" s="290" t="s">
        <v>14880</v>
      </c>
      <c r="F53" s="290" t="s">
        <v>14879</v>
      </c>
      <c r="G53" s="24"/>
    </row>
    <row r="54" spans="1:7" ht="56.25">
      <c r="A54" s="309"/>
      <c r="B54" s="288">
        <v>6.21</v>
      </c>
      <c r="C54" s="287" t="s">
        <v>12684</v>
      </c>
      <c r="D54" s="289">
        <v>44687</v>
      </c>
      <c r="E54" s="290" t="s">
        <v>14888</v>
      </c>
      <c r="F54" s="290" t="s">
        <v>14879</v>
      </c>
      <c r="G54" s="24"/>
    </row>
    <row r="55" spans="1:7" ht="56.25">
      <c r="A55" s="309"/>
      <c r="B55" s="288">
        <v>6.22</v>
      </c>
      <c r="C55" s="287" t="s">
        <v>12684</v>
      </c>
      <c r="D55" s="292">
        <v>44692</v>
      </c>
      <c r="E55" s="290" t="s">
        <v>14887</v>
      </c>
      <c r="F55" s="290" t="s">
        <v>14879</v>
      </c>
      <c r="G55" s="24"/>
    </row>
    <row r="56" spans="1:7" ht="90">
      <c r="A56" s="309"/>
      <c r="B56" s="291">
        <v>6.3</v>
      </c>
      <c r="C56" s="287" t="s">
        <v>12684</v>
      </c>
      <c r="D56" s="292">
        <v>45051</v>
      </c>
      <c r="E56" s="290" t="s">
        <v>15144</v>
      </c>
      <c r="F56" s="290" t="s">
        <v>14925</v>
      </c>
      <c r="G56" s="24"/>
    </row>
    <row r="57" spans="1:7" ht="56.25">
      <c r="A57" s="309"/>
      <c r="B57" s="288">
        <v>6.31</v>
      </c>
      <c r="C57" s="287" t="s">
        <v>12684</v>
      </c>
      <c r="D57" s="292">
        <v>45072</v>
      </c>
      <c r="E57" s="290" t="s">
        <v>15146</v>
      </c>
      <c r="F57" s="290" t="s">
        <v>14925</v>
      </c>
      <c r="G57" s="24"/>
    </row>
    <row r="58" spans="1:7" ht="56.25">
      <c r="A58" s="309"/>
      <c r="B58" s="291">
        <v>6.4</v>
      </c>
      <c r="C58" s="287" t="s">
        <v>12684</v>
      </c>
      <c r="D58" s="292">
        <v>45408</v>
      </c>
      <c r="E58" s="290" t="s">
        <v>15148</v>
      </c>
      <c r="F58" s="290" t="s">
        <v>15147</v>
      </c>
      <c r="G58" s="24"/>
    </row>
    <row r="59" spans="1:7" ht="56.25">
      <c r="A59" s="309"/>
      <c r="B59" s="291">
        <v>6.5</v>
      </c>
      <c r="C59" s="287" t="s">
        <v>12684</v>
      </c>
      <c r="D59" s="292">
        <v>45772</v>
      </c>
      <c r="E59" s="290" t="s">
        <v>15217</v>
      </c>
      <c r="F59" s="290" t="s">
        <v>15259</v>
      </c>
      <c r="G59" s="24"/>
    </row>
    <row r="60" spans="1:7" ht="90">
      <c r="A60" s="309"/>
      <c r="B60" s="291">
        <v>6.6</v>
      </c>
      <c r="C60" s="287" t="s">
        <v>12684</v>
      </c>
      <c r="D60" s="292">
        <v>46129</v>
      </c>
      <c r="E60" s="290" t="s">
        <v>15870</v>
      </c>
      <c r="F60" s="293" t="s">
        <v>15352</v>
      </c>
      <c r="G60" s="24"/>
    </row>
    <row r="61" spans="1:7" ht="13.5" thickBot="1">
      <c r="A61" s="310"/>
      <c r="B61" s="311" t="str">
        <f ca="1">OFFSET(L!$C$1,MATCH("General"&amp;"Cpy",L!$A:$A,0)-1,SL,,)</f>
        <v>© 2026 Responsible Minerals Initiative. All rights reserved.</v>
      </c>
      <c r="C61" s="311"/>
      <c r="D61" s="311"/>
      <c r="E61" s="311"/>
      <c r="F61" s="311"/>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baseColWidth="10"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Schulung und Beratung, Vorlagen, Responsible Minerals Assurance Process, konforme Schmelzhütten Liste</v>
      </c>
      <c r="B1" s="97" t="s">
        <v>427</v>
      </c>
    </row>
    <row r="2" spans="1:2" ht="30">
      <c r="A2" s="102" t="str">
        <f ca="1">OFFSET(L!$C$1,MATCH("Instructions"&amp;ADDRESS(ROW(),COLUMN(),4),L!$A:$A,0)-1,SL,,)</f>
        <v>Einführung</v>
      </c>
      <c r="B2" s="97" t="s">
        <v>1258</v>
      </c>
    </row>
    <row r="3" spans="1:2" ht="180">
      <c r="A3" s="99" t="str">
        <f ca="1">OFFSET(L!$C$1,MATCH("Instructions"&amp;ADDRESS(ROW(),COLUMN(),4),L!$A:$A,0)-1,SL,,)</f>
        <v>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v>
      </c>
      <c r="B3" s="97" t="s">
        <v>1259</v>
      </c>
    </row>
    <row r="4" spans="1:2" ht="222.6" customHeight="1">
      <c r="A4" s="99" t="str">
        <f ca="1">OFFSET(L!$C$1,MATCH("Instructions"&amp;ADDRESS(ROW(),COLUMN(),4),L!$A:$A,0)-1,SL,,)</f>
        <v>*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v>
      </c>
      <c r="B4" s="97" t="s">
        <v>1265</v>
      </c>
    </row>
    <row r="5" spans="1:2" ht="15">
      <c r="A5" s="103"/>
      <c r="B5" s="97"/>
    </row>
    <row r="6" spans="1:2" ht="30">
      <c r="A6" s="102" t="str">
        <f ca="1">OFFSET(L!$C$1,MATCH("Instructions"&amp;ADDRESS(ROW(),COLUMN(),4),L!$A:$A,0)-1,SL,,)</f>
        <v>Anleitung zum Ausfüllen von Informationen zu Unternehmen (Zeilen 8 - 22).  Die Kommentare nur in englischer Sprache.</v>
      </c>
      <c r="B6" s="97" t="s">
        <v>1258</v>
      </c>
    </row>
    <row r="7" spans="1:2" ht="15">
      <c r="A7" s="220" t="str">
        <f ca="1">OFFSET(L!$C$1,MATCH("Instructions"&amp;ADDRESS(ROW(),COLUMN(),4),L!$A:$A,0)-1,SL,,)</f>
        <v>Hinweis: Eingaben mit (*) sind Pflichtfelder</v>
      </c>
      <c r="B7" s="97"/>
    </row>
    <row r="8" spans="1:2" ht="30">
      <c r="A8" s="99" t="str">
        <f ca="1">OFFSET(L!$C$1,MATCH("Instructions"&amp;ADDRESS(ROW(),COLUMN(),4),L!$A:$A,0)-1,SL,,)</f>
        <v>1. Geben Sie hier den rechtmäßigen Firmennamen Ihres Unternehmens ein. Bitte verwenden Sie keine Abkürzungen. In diesem Feld haben Sie die Möglichkeit, weitere Geschäftsnamen, DBAs usw. hinzuzufügen.</v>
      </c>
      <c r="B8" s="97"/>
    </row>
    <row r="9" spans="1:2" ht="405.6" customHeight="1">
      <c r="A9" s="141" t="str">
        <f ca="1">OFFSET(L!$C$1,MATCH("Instructions"&amp;ADDRESS(ROW(),COLUMN(),4),L!$A:$A,0)-1,SL,,)</f>
        <v>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v>
      </c>
      <c r="B9" s="97" t="s">
        <v>1257</v>
      </c>
    </row>
    <row r="10" spans="1:2" ht="36" customHeight="1">
      <c r="A10" s="99" t="str">
        <f ca="1">OFFSET(L!$C$1,MATCH("Instructions"&amp;ADDRESS(ROW(),COLUMN(),4),L!$A:$A,0)-1,SL,,)</f>
        <v>3.Geben sie ihre eindeutige Firmenidentifikationsnummer (DUNS Nummer, Steuernummer, Kunden-spezifische Kennung, etc.) ein</v>
      </c>
      <c r="B10" s="97"/>
    </row>
    <row r="11" spans="1:2" ht="35.25" customHeight="1">
      <c r="A11" s="99" t="str">
        <f ca="1">OFFSET(L!$C$1,MATCH("Instructions"&amp;ADDRESS(ROW(),COLUMN(),4),L!$A:$A,0)-1,SL,,)</f>
        <v>4. Geben Sie die Quelle für die eindeutige Kennung oder Code ( "DUNS",  "MWST","Kunde", etc. ) an.</v>
      </c>
      <c r="B11" s="97"/>
    </row>
    <row r="12" spans="1:2" ht="30">
      <c r="A12" s="99" t="str">
        <f ca="1">OFFSET(L!$C$1,MATCH("Instructions"&amp;ADDRESS(ROW(),COLUMN(),4),L!$A:$A,0)-1,SL,,)</f>
        <v>5. Geben Sie Ihre vollständige Firmenanschrift an (Straße, Stadt, Postleitzahl,  Bundesland).  Dieses Feld ist optional.</v>
      </c>
      <c r="B12" s="97" t="s">
        <v>1258</v>
      </c>
    </row>
    <row r="13" spans="1:2" ht="33.75" customHeight="1">
      <c r="A13" s="99" t="str">
        <f ca="1">OFFSET(L!$C$1,MATCH("Instructions"&amp;ADDRESS(ROW(),COLUMN(),4),L!$A:$A,0)-1,SL,,)</f>
        <v>6. Geben Sie den Namen der Kontaktperson zum Inhalt der Erklärung an. Dies ist ein obligatorisches Feld.</v>
      </c>
      <c r="B13" s="97"/>
    </row>
    <row r="14" spans="1:2" ht="45">
      <c r="A14" s="99" t="str">
        <f ca="1">OFFSET(L!$C$1,MATCH("Instructions"&amp;ADDRESS(ROW(),COLUMN(),4),L!$A:$A,0)-1,SL,,)</f>
        <v>7. Geben Sie die E mail-Adresse der Kontaktperson an. Wenn eine E- mail-adresse nicht verfügbar ist, bitte "Nicht verfügbar" oder "n/a." auswählen. Ein leeres Feld kann dazu führen, dass ein Fehler in der Anwendung auftritt. Dies ist ein obligatorisches Feld.</v>
      </c>
      <c r="B14" s="97"/>
    </row>
    <row r="15" spans="1:2" ht="25.5" customHeight="1">
      <c r="A15" s="99" t="str">
        <f ca="1">OFFSET(L!$C$1,MATCH("Instructions"&amp;ADDRESS(ROW(),COLUMN(),4),L!$A:$A,0)-1,SL,,)</f>
        <v>8. Geben Sie die Telefonnummer des Kontakts an. Dies ist ein obligatorisches Feld.</v>
      </c>
      <c r="B15" s="97"/>
    </row>
    <row r="16" spans="1:2" ht="45">
      <c r="A16" s="99" t="str">
        <f ca="1">OFFSET(L!$C$1,MATCH("Instructions"&amp;ADDRESS(ROW(),COLUMN(),4),L!$A:$A,0)-1,SL,,)</f>
        <v>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v>
      </c>
      <c r="B16" s="97"/>
    </row>
    <row r="17" spans="1:2" ht="15">
      <c r="A17" s="99" t="str">
        <f ca="1">OFFSET(L!$C$1,MATCH("Instructions"&amp;ADDRESS(ROW(),COLUMN(),4),L!$A:$A,0)-1,SL,,)</f>
        <v>10. Geben Sie den Titel für den Namen des Bevollmächtigten an. Dieses Feld ist optional.</v>
      </c>
      <c r="B17" s="97"/>
    </row>
    <row r="18" spans="1:2" ht="45">
      <c r="A18" s="99" t="str">
        <f ca="1">OFFSET(L!$C$1,MATCH("Instructions"&amp;ADDRESS(ROW(),COLUMN(),4),L!$A:$A,0)-1,SL,,)</f>
        <v>11. Geben Sie die E-mail-Adresse der bevollmächtigten Person an. Wenn eine E-mail Adresse nicht verfügbar ist, bitte "Nicht verfügbar" oder "n/a." auswählen. Ein leeres Feld kann dazu führen, dass ein Fehler in der Anwendung auftritt. Dies ist ein obligatorisches Feld.</v>
      </c>
      <c r="B18" s="97"/>
    </row>
    <row r="19" spans="1:2" ht="15">
      <c r="A19" s="99" t="str">
        <f ca="1">OFFSET(L!$C$1,MATCH("Instructions"&amp;ADDRESS(ROW(),COLUMN(),4),L!$A:$A,0)-1,SL,,)</f>
        <v>12. Fügen Sie die Telefonnummer der freigabeberechtigten Person ein. Das Ausfüllen dieses Feldes ist freiwillig.</v>
      </c>
      <c r="B19" s="97"/>
    </row>
    <row r="20" spans="1:2" ht="33.75" customHeight="1">
      <c r="A20" s="99" t="str">
        <f ca="1">OFFSET(L!$C$1,MATCH("Instructions"&amp;ADDRESS(ROW(),COLUMN(),4),L!$A:$A,0)-1,SL,,)</f>
        <v>13. Bitte geben Sie das Datum der Fertigstellung für dieses Formblatt mit dem Format TT-MMM-JJJJ ein. Dies ist ein obligatorisches Feld.</v>
      </c>
      <c r="B20" s="97"/>
    </row>
    <row r="21" spans="1:2" ht="30">
      <c r="A21" s="99" t="str">
        <f ca="1">OFFSET(L!$C$1,MATCH("Instructions"&amp;ADDRESS(ROW(),COLUMN(),4),L!$A:$A,0)-1,SL,,)</f>
        <v>14. Zum Beispiel kann der Benutzer die Datei unter dem Namen speichern: companyname-datum.xls (Datum im Format JJJJ-MM-TT).</v>
      </c>
      <c r="B21" s="97" t="s">
        <v>1258</v>
      </c>
    </row>
    <row r="22" spans="1:2" ht="15">
      <c r="A22" s="103"/>
      <c r="B22" s="97"/>
    </row>
    <row r="23" spans="1:2" ht="30">
      <c r="A23" s="102" t="str">
        <f ca="1">OFFSET(L!$C$1,MATCH("Instructions"&amp;ADDRESS(ROW(),COLUMN(),4),L!$A:$A,0)-1,SL,,)</f>
        <v>Anweisungen zum Ausfüllen der acht Fragen zur Sorgfaltsprüfung (Zeilen 24 - 71).
Bitte geben Sie Ihre Antworten nur auf ENGLISCH</v>
      </c>
      <c r="B23" s="97" t="s">
        <v>1258</v>
      </c>
    </row>
    <row r="24" spans="1:2" ht="80.45" customHeight="1">
      <c r="A24" s="99" t="str">
        <f ca="1">OFFSET(L!$C$1,MATCH("Instructions"&amp;ADDRESS(ROW(),COLUMN(),4),L!$A:$A,0)-1,SL,,)</f>
        <v>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v>
      </c>
      <c r="B24" s="97" t="s">
        <v>1261</v>
      </c>
    </row>
    <row r="25" spans="1:2" ht="72" customHeight="1">
      <c r="A25" s="99" t="str">
        <f ca="1">OFFSET(L!$C$1,MATCH("Instructions"&amp;ADDRESS(ROW(),COLUMN(),4),L!$A:$A,0)-1,SL,,)</f>
        <v>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v>
      </c>
      <c r="B25" s="97" t="s">
        <v>1258</v>
      </c>
    </row>
    <row r="26" spans="1:2" ht="280.7" customHeight="1">
      <c r="A26" s="99" t="str">
        <f ca="1">OFFSET(L!$C$1,MATCH("Instructions"&amp;ADDRESS(ROW(),COLUMN(),4),L!$A:$A,0)-1,SL,,)</f>
        <v>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v>
      </c>
      <c r="B26" s="97" t="s">
        <v>1258</v>
      </c>
    </row>
    <row r="27" spans="1:2" ht="30">
      <c r="A27" s="99" t="str">
        <f ca="1">OFFSET(L!$C$1,MATCH("Instructions"&amp;ADDRESS(ROW(),COLUMN(),4),L!$A:$A,0)-1,SL,,)</f>
        <v>Manche Unternehmen benötigen eine Begründung für eine "Nein" -Antwort im Kommentarfeld</v>
      </c>
      <c r="B27" s="97" t="s">
        <v>1258</v>
      </c>
    </row>
    <row r="28" spans="1:2" ht="247.5" customHeight="1">
      <c r="A28" s="99" t="str">
        <f ca="1">OFFSET(L!$C$1,MATCH("Instructions"&amp;ADDRESS(ROW(),COLUMN(),4),L!$A:$A,0)-1,SL,,)</f>
        <v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v>
      </c>
      <c r="B28" s="97"/>
    </row>
    <row r="29" spans="1:2" ht="157.35" customHeight="1">
      <c r="A29" s="99" t="str">
        <f ca="1">OFFSET(L!$C$1,MATCH("Instructions"&amp;ADDRESS(ROW(),COLUMN(),4),L!$A:$A,0)-1,SL,,)</f>
        <v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v>
      </c>
      <c r="B29" s="97" t="s">
        <v>1258</v>
      </c>
    </row>
    <row r="30" spans="1:2" ht="181.7" customHeight="1">
      <c r="A30" s="99" t="str">
        <f ca="1">OFFSET(L!$C$1,MATCH("Instructions"&amp;ADDRESS(ROW(),COLUMN(),4),L!$A:$A,0)-1,SL,,)</f>
        <v>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v>
      </c>
      <c r="B30" s="97"/>
    </row>
    <row r="31" spans="1:2" ht="150">
      <c r="A31" s="99" t="str">
        <f ca="1">OFFSET(L!$C$1,MATCH("Instructions"&amp;ADDRESS(ROW(),COLUMN(),4),L!$A:$A,0)-1,SL,,)</f>
        <v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v>
      </c>
      <c r="B31" s="97" t="s">
        <v>1258</v>
      </c>
    </row>
    <row r="32" spans="1:2" ht="234.6" customHeight="1">
      <c r="A32" s="99" t="str">
        <f ca="1">OFFSET(L!$C$1,MATCH("Instructions"&amp;ADDRESS(ROW(),COLUMN(),4),L!$A:$A,0)-1,SL,,)</f>
        <v>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v>
      </c>
      <c r="B32" s="97" t="s">
        <v>1261</v>
      </c>
    </row>
    <row r="33" spans="1:2" ht="60">
      <c r="A33" s="99" t="str">
        <f ca="1">OFFSET(L!$C$1,MATCH("Instructions"&amp;ADDRESS(ROW(),COLUMN(),4),L!$A:$A,0)-1,SL,,)</f>
        <v>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v>
      </c>
      <c r="B33" s="97"/>
    </row>
    <row r="34" spans="1:2" ht="60">
      <c r="A34" s="99" t="str">
        <f ca="1">OFFSET(L!$C$1,MATCH("Instructions"&amp;ADDRESS(ROW(),COLUMN(),4),L!$A:$A,0)-1,SL,,)</f>
        <v>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v>
      </c>
      <c r="B34" s="97" t="s">
        <v>1258</v>
      </c>
    </row>
    <row r="35" spans="1:2" ht="21" customHeight="1">
      <c r="A35" s="99" t="str">
        <f ca="1">OFFSET(L!$C$1,MATCH("Instructions"&amp;ADDRESS(ROW(),COLUMN(),4),L!$A:$A,0)-1,SL,,)</f>
        <v>Geben Sie, falls notwendig, Anmerkungen im Kommentarbereich ein, die für eine Klarstellung ihrer Antwort hilfreich sind.</v>
      </c>
      <c r="B35" s="97"/>
    </row>
    <row r="36" spans="1:2" ht="15">
      <c r="A36" s="103"/>
      <c r="B36" s="97"/>
    </row>
    <row r="37" spans="1:2" ht="45">
      <c r="A37" s="102" t="str">
        <f ca="1">OFFSET(L!$C$1,MATCH("Instructions"&amp;ADDRESS(ROW(),COLUMN(),4),L!$A:$A,0)-1,SL,,)</f>
        <v>Instruktionen zur Beantwortung der Fragen A. – H. (Reihen 75–89).  Die Fragen A. bis H. müssen beantwortet werden, wenn die Antwort auf Frage 1 für irgendein Metall „Ja“ lautet.
Bitte geben Sie Ihre Antworten nur auf ENGLISCH</v>
      </c>
      <c r="B37" s="97" t="s">
        <v>1258</v>
      </c>
    </row>
    <row r="38" spans="1:2" ht="135">
      <c r="A38" s="99" t="str">
        <f ca="1">OFFSET(L!$C$1,MATCH("Instructions"&amp;ADDRESS(ROW(),COLUMN(),4),L!$A:$A,0)-1,SL,,)</f>
        <v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v>
      </c>
      <c r="B38" s="97" t="s">
        <v>1260</v>
      </c>
    </row>
    <row r="39" spans="1:2" ht="60">
      <c r="A39" s="99" t="str">
        <f ca="1">OFFSET(L!$C$1,MATCH("Instructions"&amp;ADDRESS(ROW(),COLUMN(),4),L!$A:$A,0)-1,SL,,)</f>
        <v>A. Diese Erklärung dient der Beurteilung, ob ein Unternehmen eine konfliktfreie Beschaffungsrichtlinie hat. Die Antwort auf diese Frage muss „Ja“ oder „Nein“ lauten. Anmerkungen sollten in einem Frage-/Kommentar-Feld festgehalten werden. 
Diese Frage muss beantwortet werden.</v>
      </c>
      <c r="B39" s="97"/>
    </row>
    <row r="40" spans="1:2" ht="65.45" customHeight="1">
      <c r="A40" s="99" t="str">
        <f ca="1">OFFSET(L!$C$1,MATCH("Instructions"&amp;ADDRESS(ROW(),COLUMN(),4),L!$A:$A,0)-1,SL,,)</f>
        <v>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v>
      </c>
      <c r="B40" s="97"/>
    </row>
    <row r="41" spans="1:2" ht="75">
      <c r="A41" s="99" t="str">
        <f ca="1">OFFSET(L!$C$1,MATCH("Instructions"&amp;ADDRESS(ROW(),COLUMN(),4),L!$A:$A,0)-1,SL,,)</f>
        <v>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v>
      </c>
      <c r="B41" s="97" t="s">
        <v>1263</v>
      </c>
    </row>
    <row r="42" spans="1:2" ht="210">
      <c r="A42" s="99" t="str">
        <f ca="1">OFFSET(L!$C$1,MATCH("Instructions"&amp;ADDRESS(ROW(),COLUMN(),4),L!$A:$A,0)-1,SL,,)</f>
        <v>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v>
      </c>
      <c r="B42" s="97" t="s">
        <v>1261</v>
      </c>
    </row>
    <row r="43" spans="1:2" ht="165">
      <c r="A43" s="99" t="str">
        <f ca="1">OFFSET(L!$C$1,MATCH("Instructions"&amp;ADDRESS(ROW(),COLUMN(),4),L!$A:$A,0)-1,SL,,)</f>
        <v>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v>
      </c>
      <c r="B43" s="97" t="s">
        <v>1262</v>
      </c>
    </row>
    <row r="44" spans="1:2" ht="135">
      <c r="A44" s="99" t="str">
        <f ca="1">OFFSET(L!$C$1,MATCH("Instructions"&amp;ADDRESS(ROW(),COLUMN(),4),L!$A:$A,0)-1,SL,,)</f>
        <v>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v>
      </c>
      <c r="B44" s="97" t="s">
        <v>1258</v>
      </c>
    </row>
    <row r="45" spans="1:2" ht="120">
      <c r="A45" s="99" t="str">
        <f ca="1">OFFSET(L!$C$1,MATCH("Instructions"&amp;ADDRESS(ROW(),COLUMN(),4),L!$A:$A,0)-1,SL,,)</f>
        <v>G. Diese Frage dient der Bestimmung, ob das Prüfungsverfahren eines Unternehmens ein Abhilfemaßnahmen-Management umfasst. Die Antwort auf diese Frage muss „Ja“ oder „Nein“ lauten. Anmerkungen sollten in einem Frage/Kommentar-Feld festgehalten werden. 
Diese Frage muss beantwortet werden.</v>
      </c>
      <c r="B45" s="97" t="s">
        <v>1259</v>
      </c>
    </row>
    <row r="46" spans="1:2" ht="85.5" customHeight="1">
      <c r="A46" s="99" t="str">
        <f ca="1">OFFSET(L!$C$1,MATCH("Instructions"&amp;ADDRESS(ROW(),COLUMN(),4),L!$A:$A,0)-1,SL,,)</f>
        <v>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v>
      </c>
      <c r="B46" s="97" t="s">
        <v>1258</v>
      </c>
    </row>
    <row r="47" spans="1:2" ht="15">
      <c r="A47" s="103"/>
      <c r="B47" s="97"/>
    </row>
    <row r="48" spans="1:2" ht="30">
      <c r="A48" s="102" t="str">
        <f ca="1">OFFSET(L!$C$1,MATCH("Instructions"&amp;ADDRESS(ROW(),COLUMN(),4),L!$A:$A,0)-1,SL,,)</f>
        <v>Anleitung zum Ausfüllen des Reiters "Smelter List". Bitte machen Sie ihre Angaben nur in englischer Sprache.</v>
      </c>
      <c r="B48" s="97" t="s">
        <v>1258</v>
      </c>
    </row>
    <row r="49" spans="1:2" ht="22.5" customHeight="1">
      <c r="A49" s="220" t="str">
        <f ca="1">OFFSET(L!$C$1,MATCH("Instructions"&amp;ADDRESS(ROW(),COLUMN(),4),L!$A:$A,0)-1,SL,,)</f>
        <v>Hinweis: Spalten mit (*) sind Pflichtfelder</v>
      </c>
      <c r="B49" s="97"/>
    </row>
    <row r="50" spans="1:2" ht="60">
      <c r="A50" s="99" t="str">
        <f ca="1">OFFSET(L!$C$1,MATCH("Instructions"&amp;ADDRESS(ROW(),COLUMN(),4),L!$A:$A,0)-1,SL,,)</f>
        <v>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v>
      </c>
      <c r="B50" s="97" t="s">
        <v>1257</v>
      </c>
    </row>
    <row r="51" spans="1:2" ht="51" customHeight="1">
      <c r="A51" s="99" t="str">
        <f ca="1">OFFSET(L!$C$1,MATCH("Instructions"&amp;ADDRESS(ROW(),COLUMN(),4),L!$A:$A,0)-1,SL,,)</f>
        <v>1. Eingabespalte Schmelzhüttenidentifizierung – Wenn Sie die Schmelzhüttenidentifizierungsnummer kennen, geben Sie die Nummer in Spalte A ein (Spalten B, C, E, F, G, I und J füllen sich automatisch aus).  Spalte A füllt sich nicht automatisch aus.</v>
      </c>
      <c r="B51" s="97" t="s">
        <v>1258</v>
      </c>
    </row>
    <row r="52" spans="1:2" ht="44.45" customHeight="1">
      <c r="A52" s="99" t="str">
        <f ca="1">OFFSET(L!$C$1,MATCH("Instructions"&amp;ADDRESS(ROW(),COLUMN(),4),L!$A:$A,0)-1,SL,,)</f>
        <v>2.  Metall ( * ) - Verwenden Sie das Pull-down-Menü, um das Metall auszuwählen,  für welches Sie Informationen über die Schmelzhütte eingeben. Dies ist ein Pflichteingabefeld.</v>
      </c>
      <c r="B52" s="97"/>
    </row>
    <row r="53" spans="1:2" ht="78.95" customHeight="1">
      <c r="A53" s="149" t="str">
        <f ca="1">OFFSET(L!$C$1,MATCH("Instructions"&amp;ADDRESS(ROW(),COLUMN(),4),L!$A:$A,0)-1,SL,,)</f>
        <v>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v>
      </c>
      <c r="B53" s="97" t="s">
        <v>1258</v>
      </c>
    </row>
    <row r="54" spans="1:2" ht="60">
      <c r="A54" s="99" t="str">
        <f ca="1">OFFSET(L!$C$1,MATCH("Instructions"&amp;ADDRESS(ROW(),COLUMN(),4),L!$A:$A,0)-1,SL,,)</f>
        <v>4. Schmelzhütten Name ( 1 ) - Füllen Sie den Namen der Schmelzhütte in Spalte C ein, wenn Sie "Smelter not listed" ausgewählt haben.  Dieses Feld wird automatisch ausgefüllt, wenn eine Schmelzhütte in Spalte C ausgewählt wurde. Dies ist ein Pflichteingabefeld.</v>
      </c>
      <c r="B54" s="97" t="s">
        <v>1257</v>
      </c>
    </row>
    <row r="55" spans="1:2" ht="75">
      <c r="A55" s="99" t="str">
        <f ca="1">OFFSET(L!$C$1,MATCH("Instructions"&amp;ADDRESS(ROW(),COLUMN(),4),L!$A:$A,0)-1,SL,,)</f>
        <v>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v>
      </c>
      <c r="B55" s="97" t="s">
        <v>1263</v>
      </c>
    </row>
    <row r="56" spans="1:2" ht="60">
      <c r="A56" s="99" t="str">
        <f ca="1">OFFSET(L!$C$1,MATCH("Instructions"&amp;ADDRESS(ROW(),COLUMN(),4),L!$A:$A,0)-1,SL,,)</f>
        <v>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v>
      </c>
      <c r="B56" s="97" t="s">
        <v>1257</v>
      </c>
    </row>
    <row r="57" spans="1:2" ht="60">
      <c r="A57" s="99" t="str">
        <f ca="1">OFFSET(L!$C$1,MATCH("Instructions"&amp;ADDRESS(ROW(),COLUMN(),4),L!$A:$A,0)-1,SL,,)</f>
        <v>7. Quelle der Schmelzhütten Identifikationsnummer - das ist die Quelle der Schmelzhütte, welche  in der Spalte F eingegeben wurde. Wenn eine Schmelzhütte aus der Drop-down Box in Spalte C ausgewählt wurde, dann wird dieses Feld automatisch aufgefüllt werden.</v>
      </c>
      <c r="B57" s="97" t="s">
        <v>1257</v>
      </c>
    </row>
    <row r="58" spans="1:2" ht="60">
      <c r="A58" s="99" t="str">
        <f ca="1">OFFSET(L!$C$1,MATCH("Instructions"&amp;ADDRESS(ROW(),COLUMN(),4),L!$A:$A,0)-1,SL,,)</f>
        <v>8. Straße der Schmelzhütte – Geben Sie den Straßennamen des Schmelzhüttenstandortes an. Das Ausfüllen dieses Feldes ist freiwillig.</v>
      </c>
      <c r="B58" s="97" t="s">
        <v>1257</v>
      </c>
    </row>
    <row r="59" spans="1:2" ht="30">
      <c r="A59" s="99" t="str">
        <f ca="1">OFFSET(L!$C$1,MATCH("Instructions"&amp;ADDRESS(ROW(),COLUMN(),4),L!$A:$A,0)-1,SL,,)</f>
        <v>9. Ort der Schmelzhütte – Geben Sie den Namen des Ortes an, in dem sich die Schmelzhütte befindet. Das Ausfüllen dieses Feldes ist freiwillig.</v>
      </c>
      <c r="B59" s="97" t="s">
        <v>1258</v>
      </c>
    </row>
    <row r="60" spans="1:2" ht="45" customHeight="1">
      <c r="A60" s="99" t="str">
        <f ca="1">OFFSET(L!$C$1,MATCH("Instructions"&amp;ADDRESS(ROW(),COLUMN(),4),L!$A:$A,0)-1,SL,,)</f>
        <v>10. Standort der Schmelzhütte: Ggf. Bundesland/Region/Provinz – Geben Sie das Bundesland oder die Region/Provinz des Schmelzhüttenstandortes an. Das Ausfüllen dieses Feldes ist freiwillig.</v>
      </c>
      <c r="B60" s="97" t="s">
        <v>1261</v>
      </c>
    </row>
    <row r="61" spans="1:2" ht="195">
      <c r="A61" s="99" t="str">
        <f ca="1">OFFSET(L!$C$1,MATCH("Instructions"&amp;ADDRESS(ROW(),COLUMN(),4),L!$A:$A,0)-1,SL,,)</f>
        <v>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v>
      </c>
      <c r="B61" s="97" t="s">
        <v>1261</v>
      </c>
    </row>
    <row r="62" spans="1:2" ht="60">
      <c r="A62" s="99" t="str">
        <f ca="1">OFFSET(L!$C$1,MATCH("Instructions"&amp;ADDRESS(ROW(),COLUMN(),4),L!$A:$A,0)-1,SL,,)</f>
        <v>12. Schmelzhütten Kontakt-E-Mail - Tragen Sie die E-mail Adresse des Ansprechpartners der Schmelzhütte ein. Zum Beispiel:   John.Smith@SmelterXXX.com. Lesen Sie bitte die Anweisungen für die Eingabe des Ansprechpartners vor der Eingabe des Kontakt Namens.</v>
      </c>
      <c r="B62" s="97" t="s">
        <v>1257</v>
      </c>
    </row>
    <row r="63" spans="1:2" ht="125.45" customHeight="1">
      <c r="A63" s="99" t="str">
        <f ca="1">OFFSET(L!$C$1,MATCH("Instructions"&amp;ADDRESS(ROW(),COLUMN(),4),L!$A:$A,0)-1,SL,,)</f>
        <v>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v>
      </c>
      <c r="B63" s="97" t="s">
        <v>1257</v>
      </c>
    </row>
    <row r="64" spans="1:2" ht="136.35" customHeight="1">
      <c r="A64" s="99" t="str">
        <f ca="1">OFFSET(L!$C$1,MATCH("Instructions"&amp;ADDRESS(ROW(),COLUMN(),4),L!$A:$A,0)-1,SL,,)</f>
        <v>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v>
      </c>
      <c r="B64" s="97"/>
    </row>
    <row r="65" spans="1:2" ht="90">
      <c r="A65" s="99" t="str">
        <f ca="1">OFFSET(L!$C$1,MATCH("Instructions"&amp;ADDRESS(ROW(),COLUMN(),4),L!$A:$A,0)-1,SL,,)</f>
        <v>15. Zeigt an, ob die Schmelzhütte seine Materialien für seine(n) Schmelzprozess(e) ausschließlich aus Recycling oder Schrott bezieht. Diese Frage ist optional.  Erlaubte Antworten auf diese Frage sind:
- Ja
- Nein
- Unbekannt</v>
      </c>
      <c r="B65" s="97"/>
    </row>
    <row r="66" spans="1:2" ht="110.25" customHeight="1">
      <c r="A66" s="99" t="str">
        <f ca="1">OFFSET(L!$C$1,MATCH("Instructions"&amp;ADDRESS(ROW(),COLUMN(),4),L!$A:$A,0)-1,SL,,)</f>
        <v xml:space="preserve">16. Anmerkungen - geben Sie Ihre Anmerkungen zu den Schmelzhütten in das Textfeld ein. Beispiel: Smelter is being acquired by Company YYY </v>
      </c>
      <c r="B66" s="97"/>
    </row>
    <row r="67" spans="1:2" ht="15">
      <c r="A67" s="104"/>
      <c r="B67" s="97"/>
    </row>
    <row r="68" spans="1:2" ht="34.5" customHeight="1">
      <c r="A68" s="102" t="str">
        <f ca="1">OFFSET(L!$C$1,MATCH("Instructions"&amp;ADDRESS(ROW(),COLUMN(),4),L!$A:$A,0)-1,SL,,)</f>
        <v>Allgemeine Geschäftsbedingungen (AGB)</v>
      </c>
      <c r="B68" s="97"/>
    </row>
    <row r="69" spans="1:2" ht="15">
      <c r="A69" s="104"/>
      <c r="B69" s="97"/>
    </row>
    <row r="70" spans="1:2" ht="80.45" customHeight="1">
      <c r="A70" s="102" t="str">
        <f ca="1">OFFSET(L!$C$1,MATCH("Instructions"&amp;ADDRESS(ROW(),COLUMN(),4),L!$A:$A,0)-1,SL,,)</f>
        <v>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v>
      </c>
      <c r="B70" s="97" t="s">
        <v>1258</v>
      </c>
    </row>
    <row r="71" spans="1:2" ht="93.6" customHeight="1">
      <c r="A71" s="220" t="str">
        <f ca="1">OFFSET(L!$C$1,MATCH("Instructions"&amp;ADDRESS(ROW(),COLUMN(),4),L!$A:$A,0)-1,SL,,)</f>
        <v>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v>
      </c>
      <c r="B71" s="97" t="s">
        <v>1264</v>
      </c>
    </row>
    <row r="72" spans="1:2" ht="155.44999999999999" customHeight="1">
      <c r="A72" s="220" t="str">
        <f ca="1">OFFSET(L!$C$1,MATCH("Instructions"&amp;ADDRESS(ROW(),COLUMN(),4),L!$A:$A,0)-1,SL,,)</f>
        <v>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v>
      </c>
      <c r="B72" s="97" t="s">
        <v>1262</v>
      </c>
    </row>
    <row r="73" spans="1:2" ht="75">
      <c r="A73" s="220" t="str">
        <f ca="1">OFFSET(L!$C$1,MATCH("Instructions"&amp;ADDRESS(ROW(),COLUMN(),4),L!$A:$A,0)-1,SL,,)</f>
        <v>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baseColWidth="10"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8"/>
      <c r="B1" s="319"/>
      <c r="C1" s="319"/>
      <c r="D1" s="320"/>
    </row>
    <row r="2" spans="1:5" ht="71.25" customHeight="1">
      <c r="A2" s="71"/>
      <c r="B2" s="134" t="str">
        <f ca="1">OFFSET(L!$C$1,MATCH("Definitions"&amp;ADDRESS(ROW(),COLUMN(),4),L!$A:$A,0)-1,SL,,)</f>
        <v>Posten</v>
      </c>
      <c r="C2" s="134" t="str">
        <f ca="1">OFFSET(L!$C$1,MATCH("Definitions"&amp;ADDRESS(ROW(),COLUMN(),4),L!$A:$A,0)-1,SL,,)</f>
        <v>Definition</v>
      </c>
      <c r="D2" s="322"/>
      <c r="E2" s="98"/>
    </row>
    <row r="3" spans="1:5" ht="63.95" customHeight="1">
      <c r="A3" s="71"/>
      <c r="B3" s="60" t="str">
        <f ca="1">OFFSET(L!$C$1,MATCH("Definitions"&amp;ADDRESS(ROW(),COLUMN(),4),L!$A:$A,0)-1,SL,,)</f>
        <v>3TG</v>
      </c>
      <c r="C3" s="60" t="str">
        <f ca="1">OFFSET(L!$C$1,MATCH("Definitions"&amp;ADDRESS(ROW(),COLUMN(),4),L!$A:$A,0)-1,SL,,)</f>
        <v>Zinn, Tantal, Wolfram, Gold</v>
      </c>
      <c r="D3" s="322"/>
      <c r="E3" s="97" t="s">
        <v>1266</v>
      </c>
    </row>
    <row r="4" spans="1:5" ht="63.75" customHeight="1">
      <c r="A4" s="71"/>
      <c r="B4" s="60" t="str">
        <f ca="1">OFFSET(L!$C$1,MATCH("Definitions"&amp;ADDRESS(ROW(),COLUMN(),4),L!$A:$A,0)-1,SL,,)</f>
        <v>Bevollmächtigter</v>
      </c>
      <c r="C4" s="60" t="str">
        <f ca="1">OFFSET(L!$C$1,MATCH("Definitions"&amp;ADDRESS(ROW(),COLUMN(),4),L!$A:$A,0)-1,SL,,)</f>
        <v>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v>
      </c>
      <c r="D4" s="322"/>
      <c r="E4" s="97"/>
    </row>
    <row r="5" spans="1:5" ht="75">
      <c r="A5" s="71"/>
      <c r="B5" s="60" t="str">
        <f ca="1">OFFSET(L!$C$1,MATCH("Definitions"&amp;ADDRESS(ROW(),COLUMN(),4),L!$A:$A,0)-1,SL,,)</f>
        <v>Konflikt- und Hochrisikogebiete (CAHRA)</v>
      </c>
      <c r="C5" s="60" t="str">
        <f ca="1">OFFSET(L!$C$1,MATCH("Definitions"&amp;ADDRESS(ROW(),COLUMN(),4),L!$A:$A,0)-1,SL,,)</f>
        <v>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v>
      </c>
      <c r="D5" s="322"/>
      <c r="E5" s="97"/>
    </row>
    <row r="6" spans="1:5" ht="151.35" customHeight="1">
      <c r="A6" s="71"/>
      <c r="B6" s="60" t="str">
        <f ca="1">OFFSET(L!$C$1,MATCH("Definitions"&amp;ADDRESS(ROW(),COLUMN(),4),L!$A:$A,0)-1,SL,,)</f>
        <v>Konfliktmineral</v>
      </c>
      <c r="C6" s="60" t="str">
        <f ca="1">OFFSET(L!$C$1,MATCH("Definitions"&amp;ADDRESS(ROW(),COLUMN(),4),L!$A:$A,0)-1,SL,,)</f>
        <v>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v>
      </c>
      <c r="D6" s="322"/>
      <c r="E6" s="97" t="s">
        <v>1267</v>
      </c>
    </row>
    <row r="7" spans="1:5" ht="105.6" customHeight="1">
      <c r="A7" s="71"/>
      <c r="B7" s="60" t="str">
        <f ca="1">OFFSET(L!$C$1,MATCH("Definitions"&amp;ADDRESS(ROW(),COLUMN(),4),L!$A:$A,0)-1,SL,,)</f>
        <v>umfassendes Land(er)</v>
      </c>
      <c r="C7" s="60" t="str">
        <f ca="1">OFFSET(L!$C$1,MATCH("Definitions"&amp;ADDRESS(ROW(),COLUMN(),4),L!$A:$A,0)-1,SL,,)</f>
        <v>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v>
      </c>
      <c r="D7" s="322"/>
      <c r="E7" s="97" t="s">
        <v>1267</v>
      </c>
    </row>
    <row r="8" spans="1:5" ht="135">
      <c r="A8" s="71"/>
      <c r="B8" s="60" t="str">
        <f ca="1">OFFSET(L!$C$1,MATCH("Definitions"&amp;ADDRESS(ROW(),COLUMN(),4),L!$A:$A,0)-1,SL,,)</f>
        <v>Erklärung Anwendungsbereich oder Klasse</v>
      </c>
      <c r="C8" s="60" t="str">
        <f ca="1">OFFSET(L!$C$1,MATCH("Definitions"&amp;ADDRESS(ROW(),COLUMN(),4),L!$A:$A,0)-1,SL,,)</f>
        <v>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v>
      </c>
      <c r="D8" s="322"/>
      <c r="E8" s="97" t="s">
        <v>1270</v>
      </c>
    </row>
    <row r="9" spans="1:5" ht="60">
      <c r="A9" s="71"/>
      <c r="B9" s="60" t="str">
        <f ca="1">OFFSET(L!$C$1,MATCH("Definitions"&amp;ADDRESS(ROW(),COLUMN(),4),L!$A:$A,0)-1,SL,,)</f>
        <v>Dodd-Frank</v>
      </c>
      <c r="C9" s="60" t="str">
        <f ca="1">OFFSET(L!$C$1,MATCH("Definitions"&amp;ADDRESS(ROW(),COLUMN(),4),L!$A:$A,0)-1,SL,,)</f>
        <v>2010 US Gesetzgebung, Dodd-Frank-Walls Street Reform and Consumer Protection Art, Section 1502 ("Dodd-Frank") (http://www.sec.gov/about/laws/wallstreetreform-cpa.pdf)</v>
      </c>
      <c r="D9" s="322"/>
      <c r="E9" s="97" t="s">
        <v>1267</v>
      </c>
    </row>
    <row r="10" spans="1:5" ht="45">
      <c r="A10" s="71"/>
      <c r="B10" s="60" t="str">
        <f ca="1">OFFSET(L!$C$1,MATCH("Definitions"&amp;ADDRESS(ROW(),COLUMN(),4),L!$A:$A,0)-1,SL,,)</f>
        <v>DRK</v>
      </c>
      <c r="C10" s="60" t="str">
        <f ca="1">OFFSET(L!$C$1,MATCH("Definitions"&amp;ADDRESS(ROW(),COLUMN(),4),L!$A:$A,0)-1,SL,,)</f>
        <v>Demokratische Republik Kongo</v>
      </c>
      <c r="D10" s="322"/>
      <c r="E10" s="97" t="s">
        <v>1266</v>
      </c>
    </row>
    <row r="11" spans="1:5" ht="75" hidden="1">
      <c r="A11" s="71"/>
      <c r="B11" s="60" t="str">
        <f ca="1">OFFSET(L!$C$1,MATCH("Definitions"&amp;ADDRESS(ROW(),COLUMN(),4),L!$A:$A,0)-1,SL,,)</f>
        <v>DRK Konflikt-Frei</v>
      </c>
      <c r="C11" s="60" t="str">
        <f ca="1">OFFSET(L!$C$1,MATCH("Definitions"&amp;ADDRESS(ROW(),COLUMN(),4),L!$A:$A,0)-1,SL,,)</f>
        <v>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v>
      </c>
      <c r="D11" s="322"/>
      <c r="E11" s="97" t="s">
        <v>1266</v>
      </c>
    </row>
    <row r="12" spans="1:5" ht="75">
      <c r="A12" s="71"/>
      <c r="B12" s="60" t="str">
        <f ca="1">OFFSET(L!$C$1,MATCH("Definitions"&amp;ADDRESS(ROW(),COLUMN(),4),L!$A:$A,0)-1,SL,,)</f>
        <v>Gold (Au) Raffinerie (Schmelzhutte)</v>
      </c>
      <c r="C12" s="60" t="str">
        <f ca="1">OFFSET(L!$C$1,MATCH("Definitions"&amp;ADDRESS(ROW(),COLUMN(),4),L!$A:$A,0)-1,SL,,)</f>
        <v>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v>
      </c>
      <c r="D12" s="322"/>
      <c r="E12" s="97" t="s">
        <v>1266</v>
      </c>
    </row>
    <row r="13" spans="1:5" ht="107.25" customHeight="1">
      <c r="A13" s="71"/>
      <c r="B13" s="60" t="str">
        <f ca="1">OFFSET(L!$C$1,MATCH("Definitions"&amp;ADDRESS(ROW(),COLUMN(),4),L!$A:$A,0)-1,SL,,)</f>
        <v>Unabhängige Private Wirtschaftsprüfungsgesellschaft</v>
      </c>
      <c r="C13" s="60" t="str">
        <f ca="1">OFFSET(L!$C$1,MATCH("Definitions"&amp;ADDRESS(ROW(),COLUMN(),4),L!$A:$A,0)-1,SL,,)</f>
        <v>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v>
      </c>
      <c r="D13" s="322"/>
      <c r="E13" s="97" t="s">
        <v>1268</v>
      </c>
    </row>
    <row r="14" spans="1:5" ht="315">
      <c r="A14" s="71"/>
      <c r="B14" s="60" t="str">
        <f ca="1">OFFSET(L!$C$1,MATCH("Definitions"&amp;ADDRESS(ROW(),COLUMN(),4),L!$A:$A,0)-1,SL,,)</f>
        <v>Absichtlich hinzugefügt</v>
      </c>
      <c r="C14" s="60" t="str">
        <f ca="1">OFFSET(L!$C$1,MATCH("Definitions"&amp;ADDRESS(ROW(),COLUMN(),4),L!$A:$A,0)-1,SL,,)</f>
        <v>"Absichtlich hinzugefügt" bezieht sich im Allgemeinen auf Ein Stoff, der in einer oder mehreren Phasen des Produktlebenszyklus verwendet wird, um eine bestimmte Eigenschaft, Reaktion oder Qualität zu erzielen.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v>
      </c>
      <c r="D14" s="322"/>
      <c r="E14" s="97" t="s">
        <v>1266</v>
      </c>
    </row>
    <row r="15" spans="1:5" ht="150">
      <c r="A15" s="71"/>
      <c r="B15" s="60" t="str">
        <f ca="1">OFFSET(L!$C$1,MATCH("Definitions"&amp;ADDRESS(ROW(),COLUMN(),4),L!$A:$A,0)-1,SL,,)</f>
        <v>IPC</v>
      </c>
      <c r="C15" s="60" t="str">
        <f ca="1">OFFSET(L!$C$1,MATCH("Definitions"&amp;ADDRESS(ROW(),COLUMN(),4),L!$A:$A,0)-1,SL,,)</f>
        <v>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v>
      </c>
      <c r="D15" s="322"/>
      <c r="E15" s="97" t="s">
        <v>1266</v>
      </c>
    </row>
    <row r="16" spans="1:5" ht="75">
      <c r="A16" s="71"/>
      <c r="B16" s="60" t="str">
        <f ca="1">OFFSET(L!$C$1,MATCH("Definitions"&amp;ADDRESS(ROW(),COLUMN(),4),L!$A:$A,0)-1,SL,,)</f>
        <v>IPC-1755 Responsible Minerals Data Exchange Standard</v>
      </c>
      <c r="C16" s="60" t="str">
        <f ca="1">OFFSET(L!$C$1,MATCH("Definitions"&amp;ADDRESS(ROW(),COLUMN(),4),L!$A:$A,0)-1,SL,,)</f>
        <v>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v>
      </c>
      <c r="D16" s="322"/>
      <c r="E16" s="97" t="s">
        <v>1266</v>
      </c>
    </row>
    <row r="17" spans="1:5" ht="255">
      <c r="A17" s="71"/>
      <c r="B17" s="60" t="str">
        <f ca="1">OFFSET(L!$C$1,MATCH("Definitions"&amp;ADDRESS(ROW(),COLUMN(),4),L!$A:$A,0)-1,SL,,)</f>
        <v>Erforderlich für die Funktionalität des Produkts</v>
      </c>
      <c r="C17" s="60" t="str">
        <f ca="1">OFFSET(L!$C$1,MATCH("Definitions"&amp;ADDRESS(ROW(),COLUMN(),4),L!$A:$A,0)-1,SL,,)</f>
        <v>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v>
      </c>
      <c r="D17" s="322"/>
      <c r="E17" s="97" t="s">
        <v>1266</v>
      </c>
    </row>
    <row r="18" spans="1:5" ht="165">
      <c r="A18" s="71"/>
      <c r="B18" s="60" t="str">
        <f ca="1">OFFSET(L!$C$1,MATCH("Definitions"&amp;ADDRESS(ROW(),COLUMN(),4),L!$A:$A,0)-1,SL,,)</f>
        <v>Erforderlich für die Herstellung eines Produkt</v>
      </c>
      <c r="C18" s="60" t="str">
        <f ca="1">OFFSET(L!$C$1,MATCH("Definitions"&amp;ADDRESS(ROW(),COLUMN(),4),L!$A:$A,0)-1,SL,,)</f>
        <v>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v>
      </c>
      <c r="D18" s="322"/>
      <c r="E18" s="97" t="s">
        <v>1266</v>
      </c>
    </row>
    <row r="19" spans="1:5" ht="15">
      <c r="A19" s="71"/>
      <c r="B19" s="60" t="str">
        <f ca="1">OFFSET(L!$C$1,MATCH("Definitions"&amp;ADDRESS(ROW(),COLUMN(),4),L!$A:$A,0)-1,SL,,)</f>
        <v>OECD</v>
      </c>
      <c r="C19" s="60" t="str">
        <f ca="1">OFFSET(L!$C$1,MATCH("Definitions"&amp;ADDRESS(ROW(),COLUMN(),4),L!$A:$A,0)-1,SL,,)</f>
        <v>Organisation für wirtschaftliche Zusammenarbeit und Entwicklung</v>
      </c>
      <c r="D19" s="322"/>
      <c r="E19" s="97"/>
    </row>
    <row r="20" spans="1:5" ht="45">
      <c r="A20" s="71"/>
      <c r="B20" s="60" t="str">
        <f ca="1">OFFSET(L!$C$1,MATCH("Definitions"&amp;ADDRESS(ROW(),COLUMN(),4),L!$A:$A,0)-1,SL,,)</f>
        <v>Produkt</v>
      </c>
      <c r="C20" s="60" t="str">
        <f ca="1">OFFSET(L!$C$1,MATCH("Definitions"&amp;ADDRESS(ROW(),COLUMN(),4),L!$A:$A,0)-1,SL,,)</f>
        <v>Das Produkt einer Firma oder die Fertigware ist ein Material oder ein Element, das die letzte Stufe der Herstellung und / oder Verarbeitung abgeschlossen hat und für den Vertrieb oder den Verkauf an den Kunden bestimmt ist.</v>
      </c>
      <c r="D20" s="322"/>
      <c r="E20" s="97"/>
    </row>
    <row r="21" spans="1:5" ht="15">
      <c r="A21" s="71"/>
      <c r="B21" s="60" t="str">
        <f ca="1">OFFSET(L!$C$1,MATCH("Definitions"&amp;ADDRESS(ROW(),COLUMN(),4),L!$A:$A,0)-1,SL,,)</f>
        <v>RBA</v>
      </c>
      <c r="C21" s="60" t="str">
        <f ca="1">OFFSET(L!$C$1,MATCH("Definitions"&amp;ADDRESS(ROW(),COLUMN(),4),L!$A:$A,0)-1,SL,,)</f>
        <v>Responsible Business Alliance (www.responsiblebusiness.org)</v>
      </c>
      <c r="D21" s="322"/>
      <c r="E21" s="97"/>
    </row>
    <row r="22" spans="1:5" ht="106.5" customHeight="1">
      <c r="A22" s="71"/>
      <c r="B22" s="60" t="str">
        <f ca="1">OFFSET(L!$C$1,MATCH("Definitions"&amp;ADDRESS(ROW(),COLUMN(),4),L!$A:$A,0)-1,SL,,)</f>
        <v>Recycling oder Schrott Quellen</v>
      </c>
      <c r="C22" s="60" t="str">
        <f ca="1">OFFSET(L!$C$1,MATCH("Definitions"&amp;ADDRESS(ROW(),COLUMN(),4),L!$A:$A,0)-1,SL,,)</f>
        <v>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v>
      </c>
      <c r="D22" s="322"/>
      <c r="E22" s="97"/>
    </row>
    <row r="23" spans="1:5" ht="60">
      <c r="A23" s="71"/>
      <c r="B23" s="60" t="str">
        <f ca="1">OFFSET(L!$C$1,MATCH("Definitions"&amp;ADDRESS(ROW(),COLUMN(),4),L!$A:$A,0)-1,SL,,)</f>
        <v>Responsible Minerals Assurance Process (RMAP)</v>
      </c>
      <c r="C23" s="60" t="str">
        <f ca="1">OFFSET(L!$C$1,MATCH("Definitions"&amp;ADDRESS(ROW(),COLUMN(),4),L!$A:$A,0)-1,SL,,)</f>
        <v>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v>
      </c>
      <c r="D23" s="322"/>
      <c r="E23" s="97"/>
    </row>
    <row r="24" spans="1:5" ht="168" customHeight="1">
      <c r="A24" s="71"/>
      <c r="B24" s="60" t="str">
        <f ca="1">OFFSET(L!$C$1,MATCH("Definitions"&amp;ADDRESS(ROW(),COLUMN(),4),L!$A:$A,0)-1,SL,,)</f>
        <v>Responsible Minerals Initiative</v>
      </c>
      <c r="C24" s="60" t="str">
        <f ca="1">OFFSET(L!$C$1,MATCH("Definitions"&amp;ADDRESS(ROW(),COLUMN(),4),L!$A:$A,0)-1,SL,,)</f>
        <v>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v>
      </c>
      <c r="D24" s="322"/>
      <c r="E24" s="97"/>
    </row>
    <row r="25" spans="1:5" ht="177.6" customHeight="1">
      <c r="A25" s="71"/>
      <c r="B25" s="60" t="str">
        <f ca="1">OFFSET(L!$C$1,MATCH("Definitions"&amp;ADDRESS(ROW(),COLUMN(),4),L!$A:$A,0)-1,SL,,)</f>
        <v>RMAP Compliant Smelter Liste</v>
      </c>
      <c r="C25" s="60" t="str">
        <f ca="1">OFFSET(L!$C$1,MATCH("Definitions"&amp;ADDRESS(ROW(),COLUMN(),4),L!$A:$A,0)-1,SL,,)</f>
        <v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v>
      </c>
      <c r="D25" s="322"/>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2"/>
      <c r="E26" s="97" t="s">
        <v>1268</v>
      </c>
    </row>
    <row r="27" spans="1:5" ht="90">
      <c r="A27" s="71"/>
      <c r="B27" s="60" t="str">
        <f ca="1">OFFSET(L!$C$1,MATCH("Definitions"&amp;ADDRESS(ROW(),COLUMN(),4),L!$A:$A,0)-1,SL,,)</f>
        <v>Schmelzhütte</v>
      </c>
      <c r="C27" s="60" t="str">
        <f ca="1">OFFSET(L!$C$1,MATCH("Definitions"&amp;ADDRESS(ROW(),COLUMN(),4),L!$A:$A,0)-1,SL,,)</f>
        <v>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v>
      </c>
      <c r="D27" s="322"/>
      <c r="E27" s="97" t="s">
        <v>1266</v>
      </c>
    </row>
    <row r="28" spans="1:5" ht="60">
      <c r="A28" s="71"/>
      <c r="B28" s="60" t="str">
        <f ca="1">OFFSET(L!$C$1,MATCH("Definitions"&amp;ADDRESS(ROW(),COLUMN(),4),L!$A:$A,0)-1,SL,,)</f>
        <v>Schmelzhütte Id-Nummer</v>
      </c>
      <c r="C28" s="60" t="str">
        <f ca="1">OFFSET(L!$C$1,MATCH("Definitions"&amp;ADDRESS(ROW(),COLUMN(),4),L!$A:$A,0)-1,SL,,)</f>
        <v>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v>
      </c>
      <c r="D28" s="322"/>
      <c r="E28" s="97" t="s">
        <v>1267</v>
      </c>
    </row>
    <row r="29" spans="1:5" ht="105">
      <c r="A29" s="71"/>
      <c r="B29" s="60" t="str">
        <f ca="1">OFFSET(L!$C$1,MATCH("Definitions"&amp;ADDRESS(ROW(),COLUMN(),4),L!$A:$A,0)-1,SL,,)</f>
        <v>Tantal (Ta) Schmelzhütte</v>
      </c>
      <c r="C29" s="60" t="str">
        <f ca="1">OFFSET(L!$C$1,MATCH("Definitions"&amp;ADDRESS(ROW(),COLUMN(),4),L!$A:$A,0)-1,SL,,)</f>
        <v>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v>
      </c>
      <c r="D29" s="322"/>
      <c r="E29" s="97" t="s">
        <v>1268</v>
      </c>
    </row>
    <row r="30" spans="1:5" ht="135" customHeight="1">
      <c r="A30" s="71"/>
      <c r="B30" s="60" t="str">
        <f ca="1">OFFSET(L!$C$1,MATCH("Definitions"&amp;ADDRESS(ROW(),COLUMN(),4),L!$A:$A,0)-1,SL,,)</f>
        <v>Zinn (Sn) Schmelzhütte</v>
      </c>
      <c r="C30" s="60" t="str">
        <f ca="1">OFFSET(L!$C$1,MATCH("Definitions"&amp;ADDRESS(ROW(),COLUMN(),4),L!$A:$A,0)-1,SL,,)</f>
        <v>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v>
      </c>
      <c r="D30" s="322"/>
      <c r="E30" s="97" t="s">
        <v>1269</v>
      </c>
    </row>
    <row r="31" spans="1:5" ht="132.94999999999999" customHeight="1">
      <c r="A31" s="71"/>
      <c r="B31" s="60" t="str">
        <f ca="1">OFFSET(L!$C$1,MATCH("Definitions"&amp;ADDRESS(ROW(),COLUMN(),4),L!$A:$A,0)-1,SL,,)</f>
        <v>Wolfram (W) Schmelzhütte</v>
      </c>
      <c r="C31" s="60" t="str">
        <f ca="1">OFFSET(L!$C$1,MATCH("Definitions"&amp;ADDRESS(ROW(),COLUMN(),4),L!$A:$A,0)-1,SL,,)</f>
        <v>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v>
      </c>
      <c r="D31" s="322"/>
      <c r="E31" s="97"/>
    </row>
    <row r="32" spans="1:5" ht="15">
      <c r="A32" s="71"/>
      <c r="B32" s="321" t="str">
        <f ca="1">OFFSET(L!$C$1,MATCH("General"&amp;"Cpy",L!$A:$A,0)-1,SL,,)</f>
        <v>© 2026 Responsible Minerals Initiative. All rights reserved.</v>
      </c>
      <c r="C32" s="321"/>
      <c r="D32" s="322"/>
      <c r="E32" s="97"/>
    </row>
    <row r="33" spans="1:4" ht="13.5" thickBot="1">
      <c r="A33" s="72"/>
      <c r="B33" s="146"/>
      <c r="C33" s="146"/>
      <c r="D33" s="323"/>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zoomScalePageLayoutView="70" workbookViewId="0">
      <selection activeCell="B93" sqref="B93"/>
    </sheetView>
  </sheetViews>
  <sheetFormatPr baseColWidth="10"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58"/>
      <c r="B1" s="359"/>
      <c r="C1" s="359"/>
      <c r="D1" s="359"/>
      <c r="E1" s="359"/>
      <c r="F1" s="359"/>
      <c r="G1" s="359"/>
      <c r="H1" s="359"/>
      <c r="I1" s="359"/>
      <c r="J1" s="359"/>
      <c r="K1" s="360"/>
      <c r="L1" s="97"/>
      <c r="P1" s="2"/>
      <c r="Q1" s="2"/>
      <c r="R1" s="2"/>
      <c r="S1" s="2"/>
      <c r="T1" s="2"/>
      <c r="U1" s="2"/>
      <c r="V1" s="2"/>
      <c r="W1" s="2"/>
      <c r="X1" s="2"/>
      <c r="Y1" s="2"/>
      <c r="Z1" s="2"/>
      <c r="AA1" s="2"/>
      <c r="AB1" s="2"/>
      <c r="AC1" s="2"/>
      <c r="AD1" s="2"/>
      <c r="AE1" s="2"/>
      <c r="AF1" s="2"/>
      <c r="AG1" s="2"/>
      <c r="AH1" s="2"/>
    </row>
    <row r="2" spans="1:34" ht="82.35" customHeight="1">
      <c r="A2" s="31"/>
      <c r="B2" s="133"/>
      <c r="C2" s="32"/>
      <c r="D2" s="361" t="str">
        <f ca="1">OFFSET(L!$C$1,MATCH("Declaration"&amp;ADDRESS(ROW(),COLUMN(),4),L!$A:$A,0)-1,SL,,)</f>
        <v>Conflict Minerals Reporting Template (CMRT)</v>
      </c>
      <c r="E2" s="362"/>
      <c r="F2" s="362"/>
      <c r="G2" s="362"/>
      <c r="H2" s="362"/>
      <c r="I2" s="362"/>
      <c r="J2" s="36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519</v>
      </c>
      <c r="E3" s="2"/>
      <c r="F3" s="371"/>
      <c r="G3" s="371"/>
      <c r="H3" s="371"/>
      <c r="I3" s="145"/>
      <c r="J3" s="135" t="s">
        <v>15370</v>
      </c>
      <c r="K3" s="33"/>
      <c r="L3" s="97"/>
      <c r="P3" s="42">
        <f>MATCH($D$3,LN,0)</f>
        <v>7</v>
      </c>
    </row>
    <row r="4" spans="1:34" ht="15.75">
      <c r="A4" s="31"/>
      <c r="B4" s="367" t="str">
        <f ca="1">OFFSET(L!$C$1,MATCH("Declaration"&amp;ADDRESS(ROW(),COLUMN(),4),L!$A:$A,0)-1,SL,,)</f>
        <v>Der Zweck dieses Dokuments ist die Erfassung von Beschaffungsinformationen für Zinn, Tantal, Wolfram und Gold, welche in Produkten genutzt werden.</v>
      </c>
      <c r="C4" s="367"/>
      <c r="D4" s="367"/>
      <c r="E4" s="367"/>
      <c r="F4" s="367"/>
      <c r="G4" s="367"/>
      <c r="H4" s="367"/>
      <c r="I4" s="372" t="str">
        <f ca="1">OFFSET(L!$C$1,MATCH("Declaration"&amp;ADDRESS(ROW(),COLUMN(),4),L!$A:$A,0)-1,SL,,)</f>
        <v>Link zu den Bedingungen</v>
      </c>
      <c r="J4" s="372"/>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67" t="str">
        <f ca="1">OFFSET(L!$C$1,MATCH("Declaration"&amp;ADDRESS(ROW(),COLUMN(),4),L!$A:$A,0)-1,SL,,)</f>
        <v>Pflichtfelder sind mit einem Sternchen (*) gekennzeichnet.  Im Tab „Instruktionen“ finden Sie eine Anleitung zur Beantwortung aller Fragen.</v>
      </c>
      <c r="C6" s="367"/>
      <c r="D6" s="367"/>
      <c r="E6" s="367"/>
      <c r="F6" s="367"/>
      <c r="G6" s="367"/>
      <c r="H6" s="367"/>
      <c r="I6" s="367"/>
      <c r="J6" s="367"/>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76" t="str">
        <f ca="1">OFFSET(L!$C$1,MATCH("Declaration"&amp;ADDRESS(ROW(),COLUMN(),4),L!$A:$A,0)-1,SL,,)</f>
        <v>Firmenangaben</v>
      </c>
      <c r="C7" s="376"/>
      <c r="D7" s="376"/>
      <c r="E7" s="376"/>
      <c r="F7" s="376"/>
      <c r="G7" s="376"/>
      <c r="H7" s="376"/>
      <c r="I7" s="376"/>
      <c r="J7" s="376"/>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Firmenname (*):</v>
      </c>
      <c r="C8" s="73"/>
      <c r="D8" s="364" t="s">
        <v>15879</v>
      </c>
      <c r="E8" s="365"/>
      <c r="F8" s="365"/>
      <c r="G8" s="365"/>
      <c r="H8" s="365"/>
      <c r="I8" s="365"/>
      <c r="J8" s="366"/>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Geltungsbereich der Erklärung (*):</v>
      </c>
      <c r="C9" s="73"/>
      <c r="D9" s="373" t="s">
        <v>479</v>
      </c>
      <c r="E9" s="374"/>
      <c r="F9" s="374"/>
      <c r="G9" s="37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77" t="str">
        <f ca="1">OFFSET(L!$C$1,MATCH("Declaration"&amp;ADDRESS(ROW(),COLUMN(),4)&amp;LEFT($D$9,1),L!$A:$A,0)-1,SL,,)</f>
        <v>Beschreibung des Geltungsbereichs</v>
      </c>
      <c r="C10" s="119"/>
      <c r="D10" s="368"/>
      <c r="E10" s="369"/>
      <c r="F10" s="369"/>
      <c r="G10" s="369"/>
      <c r="H10" s="369"/>
      <c r="I10" s="369"/>
      <c r="J10" s="370"/>
      <c r="K10" s="33"/>
      <c r="L10" s="112"/>
      <c r="Q10" s="2"/>
      <c r="R10" s="2"/>
      <c r="S10" s="2"/>
      <c r="T10" s="2"/>
      <c r="U10" s="2"/>
      <c r="V10" s="2"/>
      <c r="W10" s="2"/>
      <c r="X10" s="2"/>
      <c r="Y10" s="2"/>
      <c r="Z10" s="2"/>
      <c r="AA10" s="2"/>
      <c r="AB10" s="2"/>
      <c r="AC10" s="2"/>
      <c r="AD10" s="2"/>
      <c r="AE10" s="2"/>
      <c r="AF10" s="2"/>
      <c r="AG10" s="2"/>
      <c r="AH10" s="2"/>
    </row>
    <row r="11" spans="1:34" ht="15.75">
      <c r="A11" s="35"/>
      <c r="B11" s="378"/>
      <c r="C11" s="119"/>
      <c r="D11" s="343" t="str">
        <f ca="1">IF(D9=Q9,OFFSET(L!$C$1,MATCH("Declaration"&amp;ADDRESS(ROW(),COLUMN(),4),L!$A:$A,0)-1,SL,,),"")</f>
        <v/>
      </c>
      <c r="E11" s="344"/>
      <c r="F11" s="344"/>
      <c r="G11" s="344"/>
      <c r="H11" s="344"/>
      <c r="I11" s="344"/>
      <c r="J11" s="345"/>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Eindeutige Unternehmenskennung:</v>
      </c>
      <c r="C12" s="74"/>
      <c r="D12" s="351"/>
      <c r="E12" s="352"/>
      <c r="F12" s="352"/>
      <c r="G12" s="352"/>
      <c r="H12" s="352"/>
      <c r="I12" s="352"/>
      <c r="J12" s="35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Zuständige Stelle im Unternehmen:</v>
      </c>
      <c r="C13" s="74"/>
      <c r="D13" s="351"/>
      <c r="E13" s="352"/>
      <c r="F13" s="352"/>
      <c r="G13" s="352"/>
      <c r="H13" s="352"/>
      <c r="I13" s="352"/>
      <c r="J13" s="35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Adresse:</v>
      </c>
      <c r="C14" s="74"/>
      <c r="D14" s="351" t="s">
        <v>15880</v>
      </c>
      <c r="E14" s="352"/>
      <c r="F14" s="352"/>
      <c r="G14" s="352"/>
      <c r="H14" s="352"/>
      <c r="I14" s="352"/>
      <c r="J14" s="35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Name des Ansprechpartners (*):</v>
      </c>
      <c r="C15" s="74"/>
      <c r="D15" s="351" t="s">
        <v>15881</v>
      </c>
      <c r="E15" s="352"/>
      <c r="F15" s="352"/>
      <c r="G15" s="352"/>
      <c r="H15" s="352"/>
      <c r="I15" s="352"/>
      <c r="J15" s="35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E-Mail-Adresse des Ansprechpartners (*):</v>
      </c>
      <c r="C16" s="74"/>
      <c r="D16" s="379" t="s">
        <v>15882</v>
      </c>
      <c r="E16" s="380"/>
      <c r="F16" s="380"/>
      <c r="G16" s="380"/>
      <c r="H16" s="380"/>
      <c r="I16" s="380"/>
      <c r="J16" s="381"/>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Telefonnummer des Ansprechpartners (*):</v>
      </c>
      <c r="C17" s="74"/>
      <c r="D17" s="351" t="s">
        <v>15883</v>
      </c>
      <c r="E17" s="352"/>
      <c r="F17" s="352"/>
      <c r="G17" s="352"/>
      <c r="H17" s="352"/>
      <c r="I17" s="352"/>
      <c r="J17" s="35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Bevollmächtigter (*):</v>
      </c>
      <c r="C18" s="74"/>
      <c r="D18" s="324" t="s">
        <v>15881</v>
      </c>
      <c r="E18" s="325"/>
      <c r="F18" s="325"/>
      <c r="G18" s="325"/>
      <c r="H18" s="325"/>
      <c r="I18" s="325"/>
      <c r="J18" s="32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Titel des Bevollmächtigten:</v>
      </c>
      <c r="C19" s="74"/>
      <c r="D19" s="351" t="s">
        <v>15884</v>
      </c>
      <c r="E19" s="352"/>
      <c r="F19" s="352"/>
      <c r="G19" s="352"/>
      <c r="H19" s="352"/>
      <c r="I19" s="352"/>
      <c r="J19" s="35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E-Mail-Adresse des Bevollmächtigten (*):</v>
      </c>
      <c r="C20" s="74"/>
      <c r="D20" s="379" t="s">
        <v>15882</v>
      </c>
      <c r="E20" s="380"/>
      <c r="F20" s="380"/>
      <c r="G20" s="380"/>
      <c r="H20" s="380"/>
      <c r="I20" s="380"/>
      <c r="J20" s="381"/>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Telefonnummer des Bevollmächtigten:</v>
      </c>
      <c r="C21" s="130"/>
      <c r="D21" s="382" t="s">
        <v>15883</v>
      </c>
      <c r="E21" s="383"/>
      <c r="F21" s="383"/>
      <c r="G21" s="383"/>
      <c r="H21" s="383"/>
      <c r="I21" s="383"/>
      <c r="J21" s="384"/>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Datum (*):</v>
      </c>
      <c r="C22" s="75"/>
      <c r="D22" s="385">
        <v>46140</v>
      </c>
      <c r="E22" s="38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54"/>
      <c r="E23" s="35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87" t="str">
        <f ca="1">OFFSET(L!$C$1,MATCH("Declaration"&amp;ADDRESS(ROW(),COLUMN(),4),L!$A:$A,0)-1,SL,,)</f>
        <v>Beantworten Sie die Fragen 1 - 8 entsprechend dem oben angegebenen Geltungsbereich</v>
      </c>
      <c r="C24" s="387"/>
      <c r="D24" s="387"/>
      <c r="E24" s="387"/>
      <c r="F24" s="387"/>
      <c r="G24" s="387"/>
      <c r="H24" s="387"/>
      <c r="I24" s="387"/>
      <c r="J24" s="387"/>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Wird absichtlich ein 3TG-Mineral im Herstellungsprozess verwendet oder in das/die Produkt(e) aufgenommen? (*)</v>
      </c>
      <c r="C25" s="16"/>
      <c r="D25" s="334" t="str">
        <f ca="1">OFFSET(L!$C$1,MATCH("Declaration"&amp;ADDRESS(ROW(),COLUMN(),4),L!$A:$A,0)-1,SL,,)</f>
        <v>Antwort</v>
      </c>
      <c r="E25" s="334"/>
      <c r="F25" s="17"/>
      <c r="G25" s="41" t="str">
        <f ca="1">OFFSET(L!$C$1,MATCH("Declaration"&amp;ADDRESS(ROW(),COLUMN(),4),L!$A:$A,0)-1,SL,,)</f>
        <v>Kommentare</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  </v>
      </c>
      <c r="C26" s="32"/>
      <c r="D26" s="327" t="s">
        <v>474</v>
      </c>
      <c r="E26" s="328"/>
      <c r="F26" s="11"/>
      <c r="G26" s="329"/>
      <c r="H26" s="330"/>
      <c r="I26" s="330"/>
      <c r="J26" s="331"/>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Zinn  (*)</v>
      </c>
      <c r="C27" s="32"/>
      <c r="D27" s="327" t="s">
        <v>473</v>
      </c>
      <c r="E27" s="328"/>
      <c r="F27" s="11"/>
      <c r="G27" s="329"/>
      <c r="H27" s="330"/>
      <c r="I27" s="330"/>
      <c r="J27" s="331"/>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327" t="s">
        <v>473</v>
      </c>
      <c r="E28" s="328"/>
      <c r="F28" s="11"/>
      <c r="G28" s="329"/>
      <c r="H28" s="330"/>
      <c r="I28" s="330"/>
      <c r="J28" s="331"/>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Wolfram  </v>
      </c>
      <c r="C29" s="32"/>
      <c r="D29" s="327" t="s">
        <v>474</v>
      </c>
      <c r="E29" s="328"/>
      <c r="F29" s="11"/>
      <c r="G29" s="329"/>
      <c r="H29" s="330"/>
      <c r="I29" s="330"/>
      <c r="J29" s="331"/>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Liegen in dem/den Produkt(en) 3TG-Rückstände vor?  (*)</v>
      </c>
      <c r="C31" s="9"/>
      <c r="D31" s="336" t="str">
        <f ca="1">D25</f>
        <v>Antwort</v>
      </c>
      <c r="E31" s="336"/>
      <c r="F31" s="17"/>
      <c r="G31" s="41" t="str">
        <f ca="1">G25</f>
        <v>Kommentare</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  </v>
      </c>
      <c r="C32" s="9"/>
      <c r="D32" s="346"/>
      <c r="E32" s="347"/>
      <c r="F32" s="44"/>
      <c r="G32" s="329"/>
      <c r="H32" s="330"/>
      <c r="I32" s="330"/>
      <c r="J32" s="331"/>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Zinn  (*)</v>
      </c>
      <c r="C33" s="9"/>
      <c r="D33" s="327" t="s">
        <v>473</v>
      </c>
      <c r="E33" s="328"/>
      <c r="F33" s="44"/>
      <c r="G33" s="329"/>
      <c r="H33" s="330"/>
      <c r="I33" s="330"/>
      <c r="J33" s="331"/>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327" t="s">
        <v>473</v>
      </c>
      <c r="E34" s="328"/>
      <c r="F34" s="44"/>
      <c r="G34" s="329"/>
      <c r="H34" s="330"/>
      <c r="I34" s="330"/>
      <c r="J34" s="331"/>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Wolfram  </v>
      </c>
      <c r="C35" s="9"/>
      <c r="D35" s="327"/>
      <c r="E35" s="328"/>
      <c r="F35" s="44"/>
      <c r="G35" s="329"/>
      <c r="H35" s="330"/>
      <c r="I35" s="330"/>
      <c r="J35" s="331"/>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Beschaffen Schmelzhütten in Ihrer Lieferkette das 3TG-Mineral aus den umfassten Ländern? (SEC-Begriff, siehe Definitions-Tab) (*)</v>
      </c>
      <c r="C37" s="9"/>
      <c r="D37" s="336" t="str">
        <f ca="1">D25</f>
        <v>Antwort</v>
      </c>
      <c r="E37" s="336"/>
      <c r="F37" s="17"/>
      <c r="G37" s="41" t="str">
        <f ca="1">G25</f>
        <v>Kommentare</v>
      </c>
      <c r="H37" s="350"/>
      <c r="I37" s="350"/>
      <c r="J37" s="350"/>
      <c r="K37" s="33"/>
      <c r="L37" s="108" t="s">
        <v>1197</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  </v>
      </c>
      <c r="C38" s="9"/>
      <c r="D38" s="327"/>
      <c r="E38" s="328"/>
      <c r="F38" s="44"/>
      <c r="G38" s="329"/>
      <c r="H38" s="330"/>
      <c r="I38" s="330"/>
      <c r="J38" s="331"/>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Zinn  (*)</v>
      </c>
      <c r="C39" s="9"/>
      <c r="D39" s="327" t="s">
        <v>474</v>
      </c>
      <c r="E39" s="328"/>
      <c r="F39" s="44"/>
      <c r="G39" s="329"/>
      <c r="H39" s="330"/>
      <c r="I39" s="330"/>
      <c r="J39" s="331"/>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327" t="s">
        <v>474</v>
      </c>
      <c r="E40" s="328"/>
      <c r="F40" s="44"/>
      <c r="G40" s="329"/>
      <c r="H40" s="330"/>
      <c r="I40" s="330"/>
      <c r="J40" s="331"/>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Wolfram  </v>
      </c>
      <c r="C41" s="9"/>
      <c r="D41" s="327"/>
      <c r="E41" s="328"/>
      <c r="F41" s="44"/>
      <c r="G41" s="329"/>
      <c r="H41" s="330"/>
      <c r="I41" s="330"/>
      <c r="J41" s="331"/>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Beziehen Schmelzhütten in Ihrer Lieferkette ihre 3TG aus von Konflikten betroffenen und risikoreichen Gebieten? (*)</v>
      </c>
      <c r="C43" s="9"/>
      <c r="D43" s="336" t="str">
        <f ca="1">D25</f>
        <v>Antwort</v>
      </c>
      <c r="E43" s="336"/>
      <c r="F43" s="17"/>
      <c r="G43" s="41" t="str">
        <f ca="1">G25</f>
        <v>Kommentare</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  </v>
      </c>
      <c r="C44" s="9"/>
      <c r="D44" s="327"/>
      <c r="E44" s="328"/>
      <c r="F44" s="44"/>
      <c r="G44" s="329"/>
      <c r="H44" s="330"/>
      <c r="I44" s="330"/>
      <c r="J44" s="331"/>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Zinn  (*)</v>
      </c>
      <c r="C45" s="9"/>
      <c r="D45" s="327" t="s">
        <v>474</v>
      </c>
      <c r="E45" s="328"/>
      <c r="F45" s="44"/>
      <c r="G45" s="329"/>
      <c r="H45" s="330"/>
      <c r="I45" s="330"/>
      <c r="J45" s="331"/>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27" t="s">
        <v>474</v>
      </c>
      <c r="E46" s="328"/>
      <c r="F46" s="44"/>
      <c r="G46" s="329"/>
      <c r="H46" s="330"/>
      <c r="I46" s="330"/>
      <c r="J46" s="331"/>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Wolfram  </v>
      </c>
      <c r="C47" s="9"/>
      <c r="D47" s="327"/>
      <c r="E47" s="328"/>
      <c r="F47" s="44"/>
      <c r="G47" s="329"/>
      <c r="H47" s="330"/>
      <c r="I47" s="330"/>
      <c r="J47" s="331"/>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Stammt das für die Funktionalität oder  Herstellung Ihrer Produkte benötigte 3TG-Mineral zu 100 % aus Recycling- oder Schrottquellen?  (*)</v>
      </c>
      <c r="C49" s="9"/>
      <c r="D49" s="336" t="str">
        <f ca="1">D25</f>
        <v>Antwort</v>
      </c>
      <c r="E49" s="336"/>
      <c r="F49" s="17"/>
      <c r="G49" s="41" t="str">
        <f ca="1">G25</f>
        <v>Kommentare</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  </v>
      </c>
      <c r="C50" s="9"/>
      <c r="D50" s="327"/>
      <c r="E50" s="328"/>
      <c r="F50" s="44"/>
      <c r="G50" s="329"/>
      <c r="H50" s="330"/>
      <c r="I50" s="330"/>
      <c r="J50" s="331"/>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Zinn  (*)</v>
      </c>
      <c r="C51" s="9"/>
      <c r="D51" s="327" t="s">
        <v>474</v>
      </c>
      <c r="E51" s="328"/>
      <c r="F51" s="44"/>
      <c r="G51" s="329"/>
      <c r="H51" s="330"/>
      <c r="I51" s="330"/>
      <c r="J51" s="331"/>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327" t="s">
        <v>474</v>
      </c>
      <c r="E52" s="328"/>
      <c r="F52" s="44"/>
      <c r="G52" s="329"/>
      <c r="H52" s="330"/>
      <c r="I52" s="330"/>
      <c r="J52" s="331"/>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Wolfram  </v>
      </c>
      <c r="C53" s="9"/>
      <c r="D53" s="327"/>
      <c r="E53" s="328"/>
      <c r="F53" s="44"/>
      <c r="G53" s="329"/>
      <c r="H53" s="330"/>
      <c r="I53" s="330"/>
      <c r="J53" s="331"/>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Wie hoch ist der Prozentsatz an Lieferanten, die auf Ihre Lieferkettenumfrage geantwortet haben? (*)</v>
      </c>
      <c r="C55" s="9"/>
      <c r="D55" s="336" t="str">
        <f ca="1">D25</f>
        <v>Antwort</v>
      </c>
      <c r="E55" s="336"/>
      <c r="F55" s="17"/>
      <c r="G55" s="41" t="str">
        <f ca="1">G25</f>
        <v>Kommentare</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  </v>
      </c>
      <c r="C56" s="32"/>
      <c r="D56" s="348"/>
      <c r="E56" s="349"/>
      <c r="F56" s="44"/>
      <c r="G56" s="329"/>
      <c r="H56" s="330"/>
      <c r="I56" s="330"/>
      <c r="J56" s="331"/>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Zinn  (*)</v>
      </c>
      <c r="C57" s="32"/>
      <c r="D57" s="348" t="s">
        <v>15885</v>
      </c>
      <c r="E57" s="349"/>
      <c r="F57" s="44"/>
      <c r="G57" s="329"/>
      <c r="H57" s="330"/>
      <c r="I57" s="330"/>
      <c r="J57" s="331"/>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48" t="s">
        <v>15885</v>
      </c>
      <c r="E58" s="349"/>
      <c r="F58" s="44"/>
      <c r="G58" s="329"/>
      <c r="H58" s="330"/>
      <c r="I58" s="330"/>
      <c r="J58" s="331"/>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Wolfram  </v>
      </c>
      <c r="C59" s="32"/>
      <c r="D59" s="348"/>
      <c r="E59" s="349"/>
      <c r="F59" s="44"/>
      <c r="G59" s="329"/>
      <c r="H59" s="330"/>
      <c r="I59" s="330"/>
      <c r="J59" s="331"/>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Haben Sie alle Schmelzhütten ermittelt, die das 3TG-Mineral für Ihre Lieferkette bereitstellen?  (*)</v>
      </c>
      <c r="C61" s="9"/>
      <c r="D61" s="336" t="str">
        <f ca="1">D25</f>
        <v>Antwort</v>
      </c>
      <c r="E61" s="336"/>
      <c r="F61" s="17"/>
      <c r="G61" s="41" t="str">
        <f ca="1">G25</f>
        <v>Kommentare</v>
      </c>
      <c r="H61" s="333"/>
      <c r="I61" s="333"/>
      <c r="J61" s="333"/>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  </v>
      </c>
      <c r="C62" s="9"/>
      <c r="D62" s="346"/>
      <c r="E62" s="347"/>
      <c r="F62" s="44"/>
      <c r="G62" s="329"/>
      <c r="H62" s="330"/>
      <c r="I62" s="330"/>
      <c r="J62" s="331"/>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Zinn  (*)</v>
      </c>
      <c r="C63" s="9"/>
      <c r="D63" s="327" t="s">
        <v>473</v>
      </c>
      <c r="E63" s="328"/>
      <c r="F63" s="44"/>
      <c r="G63" s="329"/>
      <c r="H63" s="330"/>
      <c r="I63" s="330"/>
      <c r="J63" s="331"/>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327" t="s">
        <v>473</v>
      </c>
      <c r="E64" s="328"/>
      <c r="F64" s="44"/>
      <c r="G64" s="329"/>
      <c r="H64" s="330"/>
      <c r="I64" s="330"/>
      <c r="J64" s="331"/>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Wolfram  </v>
      </c>
      <c r="C65" s="9"/>
      <c r="D65" s="327"/>
      <c r="E65" s="328"/>
      <c r="F65" s="44"/>
      <c r="G65" s="329"/>
      <c r="H65" s="330"/>
      <c r="I65" s="330"/>
      <c r="J65" s="331"/>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Haben Sie alle relevanten Informationen, die Ihr Unternehmen zu den Schmelzhütten erhalten hat, in dieser Erklärung aufgeführt?  (*)</v>
      </c>
      <c r="C67" s="9"/>
      <c r="D67" s="336" t="str">
        <f ca="1">D25</f>
        <v>Antwort</v>
      </c>
      <c r="E67" s="336"/>
      <c r="F67" s="17"/>
      <c r="G67" s="41" t="str">
        <f ca="1">G25</f>
        <v>Kommentare</v>
      </c>
      <c r="H67" s="333" t="str">
        <f>IF(Q75="(*)","Click here to enter smelter names","")</f>
        <v/>
      </c>
      <c r="I67" s="333"/>
      <c r="J67" s="333"/>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  </v>
      </c>
      <c r="C68" s="32"/>
      <c r="D68" s="327"/>
      <c r="E68" s="328"/>
      <c r="F68" s="45"/>
      <c r="G68" s="329"/>
      <c r="H68" s="330"/>
      <c r="I68" s="330"/>
      <c r="J68" s="331"/>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Zinn  (*)</v>
      </c>
      <c r="C69" s="32"/>
      <c r="D69" s="327" t="s">
        <v>473</v>
      </c>
      <c r="E69" s="328"/>
      <c r="F69" s="45"/>
      <c r="G69" s="329"/>
      <c r="H69" s="330"/>
      <c r="I69" s="330"/>
      <c r="J69" s="331"/>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327" t="s">
        <v>473</v>
      </c>
      <c r="E70" s="328"/>
      <c r="F70" s="45"/>
      <c r="G70" s="329"/>
      <c r="H70" s="330"/>
      <c r="I70" s="330"/>
      <c r="J70" s="331"/>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Wolfram  </v>
      </c>
      <c r="C71" s="46"/>
      <c r="D71" s="327"/>
      <c r="E71" s="328"/>
      <c r="F71" s="47"/>
      <c r="G71" s="329"/>
      <c r="H71" s="330"/>
      <c r="I71" s="330"/>
      <c r="J71" s="331"/>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32" t="str">
        <f ca="1">OFFSET(L!$C$1,MATCH("Declaration"&amp;ADDRESS(ROW(),COLUMN(),4),L!$A:$A,0)-1,SL,,)</f>
        <v>Beantworten Sie folgende Fragen auf Firmenebene</v>
      </c>
      <c r="C73" s="332"/>
      <c r="D73" s="332"/>
      <c r="E73" s="332"/>
      <c r="F73" s="332"/>
      <c r="G73" s="332"/>
      <c r="H73" s="332"/>
      <c r="I73" s="332"/>
      <c r="J73" s="332"/>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Frage</v>
      </c>
      <c r="C74" s="78"/>
      <c r="D74" s="334" t="str">
        <f ca="1">D25</f>
        <v>Antwort</v>
      </c>
      <c r="E74" s="334"/>
      <c r="F74" s="50"/>
      <c r="G74" s="334" t="str">
        <f ca="1">G25</f>
        <v>Kommentare</v>
      </c>
      <c r="H74" s="334" t="e">
        <f>HLOOKUP(SL,LT,$O74,0)</f>
        <v>#NAME?</v>
      </c>
      <c r="I74" s="33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Haben Sie eine konfliktfreie Beschaffungsrichtlinie für Mineralien erstellt? (*)</v>
      </c>
      <c r="C75" s="54"/>
      <c r="D75" s="327" t="s">
        <v>473</v>
      </c>
      <c r="E75" s="328"/>
      <c r="F75" s="54"/>
      <c r="G75" s="329"/>
      <c r="H75" s="330"/>
      <c r="I75" s="330"/>
      <c r="J75" s="331"/>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35"/>
      <c r="H76" s="335"/>
      <c r="I76" s="335"/>
      <c r="J76" s="335"/>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Ist Ihre konfliktfreie Beschaffungsrichtlinie für Mineralien auf Ihrer Website einsehbar? (Hinweis - Wenn „Ja“, sollte der Benutzer die URL im Anmerkungsfeld angeben.) (*)</v>
      </c>
      <c r="C77" s="54"/>
      <c r="D77" s="327" t="s">
        <v>474</v>
      </c>
      <c r="E77" s="328"/>
      <c r="F77" s="54"/>
      <c r="G77" s="355"/>
      <c r="H77" s="356"/>
      <c r="I77" s="356"/>
      <c r="J77" s="357"/>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Verlangen Sie von Ihren direkten Lieferanten, das 3TG-Mineral ausschließlich von Schmelzhütten zu beziehen, deren Sorgfaltspflichts-Praktiken von einer unabhängigen Instanz überprüft wurden? (*)</v>
      </c>
      <c r="C79" s="54"/>
      <c r="D79" s="327" t="s">
        <v>473</v>
      </c>
      <c r="E79" s="328"/>
      <c r="F79" s="54"/>
      <c r="G79" s="329"/>
      <c r="H79" s="330"/>
      <c r="I79" s="330"/>
      <c r="J79" s="331"/>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Haben Sie Sorgfaltspflichtmaßnahmen für die konfliktfreie Beschaffung in Kraft gesetzt? (*)</v>
      </c>
      <c r="C81" s="54"/>
      <c r="D81" s="327" t="s">
        <v>473</v>
      </c>
      <c r="E81" s="328"/>
      <c r="F81" s="54"/>
      <c r="G81" s="329"/>
      <c r="H81" s="330"/>
      <c r="I81" s="330"/>
      <c r="J81" s="331"/>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Veranstaltet Ihr Unternehmen (eine) Konfliktmineralienumfrage(n) mit seinen entsprechenden Lieferanten? (*)</v>
      </c>
      <c r="C83" s="54"/>
      <c r="D83" s="327" t="s">
        <v>14427</v>
      </c>
      <c r="E83" s="328"/>
      <c r="F83" s="54"/>
      <c r="G83" s="329"/>
      <c r="H83" s="330"/>
      <c r="I83" s="330"/>
      <c r="J83" s="331"/>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Überprüfen Sie die Sorgfaltspflichts-Informationen, die Sie von ihren Lieferanten erhalten, anhand der Erwartungen Ihres Unternehmens? (*)</v>
      </c>
      <c r="C85" s="54"/>
      <c r="D85" s="340" t="s">
        <v>473</v>
      </c>
      <c r="E85" s="341"/>
      <c r="F85" s="54"/>
      <c r="G85" s="329"/>
      <c r="H85" s="330"/>
      <c r="I85" s="330"/>
      <c r="J85" s="331"/>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35"/>
      <c r="H86" s="335"/>
      <c r="I86" s="335"/>
      <c r="J86" s="335"/>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Sieht Ihr Review-Prozess ein Korrekturmaßnahmen-Management vor? (*)</v>
      </c>
      <c r="C87" s="54"/>
      <c r="D87" s="327" t="s">
        <v>473</v>
      </c>
      <c r="E87" s="328"/>
      <c r="F87" s="54"/>
      <c r="G87" s="329"/>
      <c r="H87" s="330"/>
      <c r="I87" s="330"/>
      <c r="J87" s="331"/>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42"/>
      <c r="H88" s="342"/>
      <c r="I88" s="342"/>
      <c r="J88" s="342"/>
      <c r="K88" s="33"/>
      <c r="L88" s="110"/>
      <c r="M88" s="109"/>
      <c r="P88" s="2"/>
      <c r="Q88" s="2"/>
      <c r="R88" s="2"/>
      <c r="S88" s="2"/>
      <c r="T88" s="2"/>
      <c r="U88" s="2"/>
      <c r="V88" s="2"/>
      <c r="W88" s="2"/>
      <c r="X88" s="2"/>
      <c r="Y88" s="2"/>
      <c r="Z88" s="2"/>
      <c r="AA88" s="2"/>
      <c r="AB88" s="2"/>
      <c r="AC88" s="2"/>
      <c r="AD88" s="2"/>
      <c r="AE88" s="2"/>
      <c r="AF88" s="2"/>
      <c r="AG88" s="2"/>
      <c r="AH88" s="2"/>
    </row>
    <row r="89" spans="1:34" ht="31.5">
      <c r="A89" s="38"/>
      <c r="B89" s="53" t="str">
        <f ca="1">OFFSET(L!$C$1,MATCH("Declaration"&amp;ADDRESS(ROW(),COLUMN(),4),L!$A:$A,0)-1,SL,,)&amp;$Q$37</f>
        <v>H. Ist Ihr Unternehmen zu einer jährlichen Offenlegung der Konfliktmineralien verpflichtet? (*)</v>
      </c>
      <c r="C89" s="54"/>
      <c r="D89" s="327" t="s">
        <v>474</v>
      </c>
      <c r="E89" s="328"/>
      <c r="F89" s="54"/>
      <c r="G89" s="329"/>
      <c r="H89" s="330"/>
      <c r="I89" s="330"/>
      <c r="J89" s="331"/>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39" t="str">
        <f>IF(OR($D$8="",$I$3=""),"","Click here to check required fields completion")</f>
        <v/>
      </c>
      <c r="C90" s="339"/>
      <c r="D90" s="339"/>
      <c r="E90" s="339"/>
      <c r="F90" s="339"/>
      <c r="G90" s="339"/>
      <c r="H90" s="339"/>
      <c r="I90" s="339"/>
      <c r="J90" s="339"/>
      <c r="K90" s="33"/>
      <c r="L90" s="97"/>
      <c r="P90" s="2"/>
      <c r="Q90" s="2"/>
      <c r="R90" s="2"/>
      <c r="S90" s="2"/>
      <c r="T90" s="2"/>
      <c r="U90" s="2"/>
      <c r="V90" s="2"/>
      <c r="W90" s="2"/>
      <c r="X90" s="2"/>
      <c r="Y90" s="2"/>
      <c r="Z90" s="2"/>
      <c r="AA90" s="2"/>
      <c r="AB90" s="2"/>
      <c r="AC90" s="2"/>
      <c r="AD90" s="2"/>
      <c r="AE90" s="2"/>
      <c r="AF90" s="2"/>
      <c r="AG90" s="2"/>
      <c r="AH90" s="2"/>
    </row>
    <row r="91" spans="1:34" ht="15.75" thickBot="1">
      <c r="A91" s="337" t="str">
        <f ca="1">OFFSET(L!$C$1,MATCH("General"&amp;"Cpy",L!$A:$A,0)-1,SL,,)</f>
        <v>© 2026 Responsible Minerals Initiative. All rights reserved.</v>
      </c>
      <c r="B91" s="338"/>
      <c r="C91" s="338"/>
      <c r="D91" s="338"/>
      <c r="E91" s="338"/>
      <c r="F91" s="338"/>
      <c r="G91" s="338"/>
      <c r="H91" s="338"/>
      <c r="I91" s="338"/>
      <c r="J91" s="33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Yes</v>
      </c>
    </row>
    <row r="99" spans="2:7" ht="15.75" hidden="1">
      <c r="B99" s="172">
        <v>1</v>
      </c>
      <c r="D99" s="264" t="str">
        <f>IF(AND(OR($D$27="Yes",$D$27=""),OR($D$33="Yes",$D$33="")),"Yes","")</f>
        <v>Yes</v>
      </c>
      <c r="E99" s="264" t="str">
        <f>IF(AND(OR($D$26="Yes",$D$26=""),OR($D$32="Yes",$D$32="")),"Greater than 50%","")</f>
        <v/>
      </c>
      <c r="G99" s="264" t="str">
        <f>IF(OR($D$27="Yes",$D$27=""),"No","")</f>
        <v>No</v>
      </c>
    </row>
    <row r="100" spans="2:7" ht="15.75" hidden="1">
      <c r="B100" s="219" t="s">
        <v>2370</v>
      </c>
      <c r="D100" s="264" t="str">
        <f>IF(AND(OR($D$27="Yes",$D$27=""),OR($D$33="Yes",$D$33="")),"No","")</f>
        <v>No</v>
      </c>
      <c r="E100" s="264" t="str">
        <f>IF(AND(OR($D$26="Yes",$D$26=""),OR($D$32="Yes",$D$32="")),"50% or less","")</f>
        <v/>
      </c>
      <c r="G100" s="264" t="str">
        <f>IF(OR($D$28="Yes",$D$28=""),"Yes","")</f>
        <v>Yes</v>
      </c>
    </row>
    <row r="101" spans="2:7" ht="15.75" hidden="1">
      <c r="B101" s="219" t="s">
        <v>2371</v>
      </c>
      <c r="D101" s="264" t="str">
        <f>IF(AND(OR($D$27="Yes",$D$27=""),OR($D$33="Yes",$D$33="")),"Unknown","")</f>
        <v>Unknown</v>
      </c>
      <c r="E101" s="264" t="str">
        <f>IF(AND(OR($D$26="Yes",$D$26=""),OR($D$32="Yes",$D$32="")),"None","")</f>
        <v/>
      </c>
      <c r="G101" s="264" t="str">
        <f>IF(OR($D$28="Yes",$D$28=""),"No","")</f>
        <v>No</v>
      </c>
    </row>
    <row r="102" spans="2:7" ht="15.75" hidden="1">
      <c r="B102" s="219" t="s">
        <v>2372</v>
      </c>
      <c r="D102" s="264" t="str">
        <f>IF(AND(OR($D$28="Yes",$D$28=""),OR($D$34="Yes",$D$34="")),"Yes","")</f>
        <v>Yes</v>
      </c>
      <c r="E102" s="264" t="str">
        <f>IF(AND(OR($D$27="Yes",$D$27=""),OR($D$33="Yes",$D$33="")),"100%","")</f>
        <v>100%</v>
      </c>
      <c r="G102" s="264" t="str">
        <f>IF(OR($D$29="Yes",$D$29=""),"Yes","")</f>
        <v/>
      </c>
    </row>
    <row r="103" spans="2:7" ht="15.75" hidden="1">
      <c r="B103" s="219" t="s">
        <v>2373</v>
      </c>
      <c r="D103" s="264" t="str">
        <f>IF(AND(OR($D$28="Yes",$D$28=""),OR($D$34="Yes",$D$34="")),"No","")</f>
        <v>No</v>
      </c>
      <c r="E103" s="264" t="str">
        <f>IF(AND(OR($D$27="Yes",$D$27=""),OR($D$33="Yes",$D$33="")),"Greater than 90%","")</f>
        <v>Greater than 90%</v>
      </c>
      <c r="G103" s="264" t="str">
        <f>IF(OR($D$29="Yes",$D$29=""),"No","")</f>
        <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
      </c>
      <c r="E105" s="264" t="str">
        <f>IF(AND(OR($D$27="Yes",$D$27=""),OR($D$33="Yes",$D$33="")),"Greater than 50%","")</f>
        <v>Greater than 50%</v>
      </c>
    </row>
    <row r="106" spans="2:7" ht="15.75" hidden="1">
      <c r="B106" s="219" t="s">
        <v>11949</v>
      </c>
      <c r="D106" s="264" t="str">
        <f>IF(AND(OR($D$29="Yes",$D$29=""),OR($D$35="Yes",$D$35="")),"No","")</f>
        <v/>
      </c>
      <c r="E106" s="264" t="str">
        <f>IF(AND(OR($D$27="Yes",$D$27=""),OR($D$33="Yes",$D$33="")),"50% or less","")</f>
        <v>50% or less</v>
      </c>
    </row>
    <row r="107" spans="2:7" ht="15.75" hidden="1">
      <c r="B107" s="219" t="s">
        <v>474</v>
      </c>
      <c r="D107" s="264" t="str">
        <f>IF(AND(OR($D$29="Yes",$D$29=""),OR($D$35="Yes",$D$35="")),"Unknown","")</f>
        <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DA3F02E9-12AA-43B5-AAF3-4AA031C285C2}"/>
    <hyperlink ref="D20" r:id="rId4" xr:uid="{7BADB492-9A5F-48CA-9BB5-D231174BF607}"/>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abSelected="1" zoomScaleNormal="100" zoomScalePageLayoutView="55" workbookViewId="0">
      <selection activeCell="A44" sqref="A44"/>
    </sheetView>
  </sheetViews>
  <sheetFormatPr baseColWidth="10"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UM ZU BEGINNEN:</v>
      </c>
      <c r="C2" s="156"/>
      <c r="D2" s="156"/>
      <c r="E2" s="156"/>
      <c r="F2" s="177"/>
      <c r="G2" s="177"/>
      <c r="H2" s="177"/>
      <c r="I2" s="178"/>
      <c r="J2" s="388" t="str">
        <f ca="1">OFFSET(L!$C$1,MATCH("Smelter List"&amp;ADDRESS(ROW(),COLUMN(),4),L!$A:$A,0)-1,SL,,)</f>
        <v>Link zur "RMAP Conformant Smelter"- Liste</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 xml:space="preserve">Eingabespalte Schmelzhüttenidentifizierungsnummer </v>
      </c>
      <c r="B4" s="199" t="str">
        <f ca="1">OFFSET(L!$C$1,MATCH("Smelter List"&amp;ADDRESS(ROW(),COLUMN(),4),L!$A:$A,0)-1,SL,,)</f>
        <v>Metall (1)</v>
      </c>
      <c r="C4" s="199" t="str">
        <f ca="1">OFFSET(L!$C$1,MATCH("Smelter List"&amp;ADDRESS(ROW(),COLUMN(),4),L!$A:$A,0)-1,SL,,)</f>
        <v>Schmelzhüttensuche (*)</v>
      </c>
      <c r="D4" s="199" t="str">
        <f ca="1">OFFSET(L!$C$1,MATCH("Smelter List"&amp;ADDRESS(ROW(),COLUMN(),4),L!$A:$A,0)-1,SL,,)</f>
        <v>Schmelzhüttenname (1)</v>
      </c>
      <c r="E4" s="199" t="str">
        <f ca="1">OFFSET(L!$C$1,MATCH("Smelter List"&amp;ADDRESS(ROW(),COLUMN(),4),L!$A:$A,0)-1,SL,,)</f>
        <v>Schmelzhütten: Land (*)</v>
      </c>
      <c r="F4" s="199" t="str">
        <f ca="1">OFFSET(L!$C$1,MATCH("Smelter List"&amp;ADDRESS(ROW(),COLUMN(),4),L!$A:$A,0)-1,SL,,)</f>
        <v>Schmelzhütte Identifizierung</v>
      </c>
      <c r="G4" s="199" t="str">
        <f ca="1">OFFSET(L!$C$1,MATCH("Smelter List"&amp;ADDRESS(ROW(),COLUMN(),4),L!$A:$A,0)-1,SL,,)</f>
        <v>Quelle der Schmelzhütte Id-Nummer</v>
      </c>
      <c r="H4" s="139" t="str">
        <f ca="1">OFFSET(L!$C$1,MATCH("Smelter List"&amp;ADDRESS(ROW(),COLUMN(),4),L!$A:$A,0)-1,SL,,)</f>
        <v>Schmelzhütten: Straße</v>
      </c>
      <c r="I4" s="139" t="str">
        <f ca="1">OFFSET(L!$C$1,MATCH("Smelter List"&amp;ADDRESS(ROW(),COLUMN(),4),L!$A:$A,0)-1,SL,,)</f>
        <v>Schmelzhütten: Stadt</v>
      </c>
      <c r="J4" s="139" t="str">
        <f ca="1">OFFSET(L!$C$1,MATCH("Smelter List"&amp;ADDRESS(ROW(),COLUMN(),4),L!$A:$A,0)-1,SL,,)</f>
        <v>Schmelzhütten: Bundesland/Provinz</v>
      </c>
      <c r="K4" s="139" t="str">
        <f ca="1">OFFSET(L!$C$1,MATCH("Smelter List"&amp;ADDRESS(ROW(),COLUMN(),4),L!$A:$A,0)-1,SL,,)</f>
        <v xml:space="preserve">Schmelzhütten-Ansprechpartner: Name </v>
      </c>
      <c r="L4" s="139" t="str">
        <f ca="1">OFFSET(L!$C$1,MATCH("Smelter List"&amp;ADDRESS(ROW(),COLUMN(),4),L!$A:$A,0)-1,SL,,)</f>
        <v>Schmelzhütten-Ansprechpartner: E-mail</v>
      </c>
      <c r="M4" s="139" t="str">
        <f ca="1">OFFSET(L!$C$1,MATCH("Smelter List"&amp;ADDRESS(ROW(),COLUMN(),4),L!$A:$A,0)-1,SL,,)</f>
        <v>Vorgeschlagenen nächsten Schritte</v>
      </c>
      <c r="N4" s="139" t="str">
        <f ca="1">OFFSET(L!$C$1,MATCH("Smelter List"&amp;ADDRESS(ROW(),COLUMN(),4),L!$A:$A,0)-1,SL,,)</f>
        <v>Name der Mine(n) oder falls aus Recycling oder Schrott, tragen Sie "recycled" oder "Schrott" ein</v>
      </c>
      <c r="O4" s="139" t="str">
        <f ca="1">OFFSET(L!$C$1,MATCH("Smelter List"&amp;ADDRESS(ROW(),COLUMN(),4),L!$A:$A,0)-1,SL,,)</f>
        <v>Standort (Land) von Minen, falls aus Recycling oder Schrott gekauft, geben Sie "recycled" oder "Schrott" ein</v>
      </c>
      <c r="P4" s="139" t="str">
        <f ca="1">OFFSET(L!$C$1,MATCH("Smelter List"&amp;ADDRESS(ROW(),COLUMN(),4),L!$A:$A,0)-1,SL,,)</f>
        <v>Stammen 100% der Ausgangsstoffe der Schmelzhütte aus Recycling oder Schrott?</v>
      </c>
      <c r="Q4" s="140" t="str">
        <f ca="1">OFFSET(L!$C$1,MATCH("Smelter List"&amp;ADDRESS(ROW(),COLUMN(),4),L!$A:$A,0)-1,SL,,)</f>
        <v>Kommentare</v>
      </c>
      <c r="R4" s="199" t="s">
        <v>11971</v>
      </c>
      <c r="S4" s="199" t="s">
        <v>11958</v>
      </c>
      <c r="T4" s="199" t="s">
        <v>11959</v>
      </c>
      <c r="U4" s="184"/>
      <c r="W4" s="152" t="s">
        <v>1278</v>
      </c>
      <c r="X4" s="152" t="s">
        <v>901</v>
      </c>
      <c r="AH4" s="140" t="s">
        <v>475</v>
      </c>
    </row>
    <row r="5" spans="1:34" s="210" customFormat="1" ht="20.100000000000001" customHeight="1">
      <c r="A5" s="245" t="s">
        <v>756</v>
      </c>
      <c r="B5" s="166" t="str">
        <f ca="1">IF(LEN(A5)=0,"",INDEX('Smelter Look-up'!$A:$A,MATCH($A5,'Smelter Look-up'!$E:$E,0)))</f>
        <v>Tin</v>
      </c>
      <c r="C5" s="170" t="str">
        <f ca="1">IF(LEN(A5)=0,"",INDEX('Smelter Look-up'!$C:$C,MATCH($A5,'Smelter Look-up'!$E:$E,0)))</f>
        <v>Tin Smelting Branch of Yunnan Tin Co., Ltd.</v>
      </c>
      <c r="D5" s="213"/>
      <c r="E5" s="166" t="str">
        <f ca="1">IF(ISERROR($V5),"",OFFSET('Smelter Look-up'!$D$4,$V5-4,0)&amp;"")</f>
        <v>CHINA</v>
      </c>
      <c r="F5" s="166" t="str">
        <f ca="1">IF(ISERROR($V5),"",OFFSET('Smelter Look-up'!$E$4,$V5-4,0))</f>
        <v>CID002180</v>
      </c>
      <c r="G5" s="166" t="str">
        <f ca="1">IF(C5=$X$4,IF(ISERROR($V5),"Enter smelter details","RMI"),IF(ISERROR($V5),"",OFFSET('Smelter Look-up'!$F$4,$V5-4,0)))</f>
        <v>RMI</v>
      </c>
      <c r="H5" s="167">
        <f ca="1">IF(ISERROR($V5),"",OFFSET('Smelter Look-up'!$G$4,$V5-4,0))</f>
        <v>0</v>
      </c>
      <c r="I5" s="168" t="str">
        <f ca="1">IF(ISERROR($V5),"",OFFSET('Smelter Look-up'!$H$4,$V5-4,0))</f>
        <v>Gejiu</v>
      </c>
      <c r="J5" s="168" t="str">
        <f ca="1">IF(ISERROR($V5),"",OFFSET('Smelter Look-up'!$I$4,$V5-4,0))</f>
        <v>Yunnan Sheng</v>
      </c>
      <c r="K5" s="207"/>
      <c r="L5" s="207"/>
      <c r="M5" s="207"/>
      <c r="N5" s="207"/>
      <c r="O5" s="207"/>
      <c r="P5" s="169"/>
      <c r="Q5" s="208"/>
      <c r="R5" s="166" t="str">
        <f ca="1">IF(ISERROR($V5),"",OFFSET('Smelter Look-up'!$C$4,$V5-4,0)&amp;"")</f>
        <v>Tin Smelting Branch of Yunnan Tin Co., Ltd.</v>
      </c>
      <c r="S5" s="165" t="str">
        <f ca="1">IF(B5="","",IF(ISERROR(MATCH($E5,CL,0)),"Unknown",INDIRECT("'C'!$A$"&amp;MATCH($E5,CL,0)+1)))</f>
        <v>CN</v>
      </c>
      <c r="T5" s="165" t="str">
        <f ca="1">IF(B5="","",IF(ISERROR(MATCH($J5,SorP!$B$1:$B$6261,0)),"",INDIRECT("'SorP'!$A$"&amp;MATCH($S5&amp;$J5,SorP!C:C,0))))</f>
        <v>CN-YN</v>
      </c>
      <c r="U5" s="185"/>
      <c r="V5" s="209">
        <f ca="1">IF(C5="",NA(),IF(OR(C5="Smelter not listed",C5="Smelter not yet identified"),MATCH($B5&amp;$D5,'Smelter Look-up'!$J:$J,0),MATCH($B5&amp;$C5,'Smelter Look-up'!$J:$J,0)))</f>
        <v>546</v>
      </c>
      <c r="X5" s="210">
        <f t="shared" ref="X5" ca="1" si="0">IF(AND(C5="Smelter not listed",OR(LEN(D5)=0,LEN(E5)=0)),1,0)</f>
        <v>0</v>
      </c>
      <c r="AB5" s="211" t="str">
        <f t="shared" ref="AB5" ca="1" si="1">B5&amp;C5</f>
        <v>TinTin Smelting Branch of Yunnan Tin Co., Ltd.</v>
      </c>
    </row>
    <row r="6" spans="1:34" s="210" customFormat="1" ht="20.100000000000001" customHeight="1">
      <c r="A6" s="245" t="s">
        <v>756</v>
      </c>
      <c r="B6" s="166" t="str">
        <f ca="1">IF(LEN(A6)=0,"",INDEX('Smelter Look-up'!$A:$A,MATCH($A6,'Smelter Look-up'!$E:$E,0)))</f>
        <v>Tin</v>
      </c>
      <c r="C6" s="170" t="str">
        <f ca="1">IF(LEN(A6)=0,"",INDEX('Smelter Look-up'!$C:$C,MATCH($A6,'Smelter Look-up'!$E:$E,0)))</f>
        <v>Tin Smelting Branch of Yunnan Tin Co., Ltd.</v>
      </c>
      <c r="D6" s="213"/>
      <c r="E6" s="166" t="str">
        <f ca="1">IF(ISERROR($V6),"",OFFSET('Smelter Look-up'!$D$4,$V6-4,0)&amp;"")</f>
        <v>CHINA</v>
      </c>
      <c r="F6" s="166" t="str">
        <f ca="1">IF(ISERROR($V6),"",OFFSET('Smelter Look-up'!$E$4,$V6-4,0))</f>
        <v>CID002180</v>
      </c>
      <c r="G6" s="166" t="str">
        <f ca="1">IF(C6=$X$4,IF(ISERROR($V6),"Enter smelter details","RMI"),IF(ISERROR($V6),"",OFFSET('Smelter Look-up'!$F$4,$V6-4,0)))</f>
        <v>RMI</v>
      </c>
      <c r="H6" s="167">
        <f ca="1">IF(ISERROR($V6),"",OFFSET('Smelter Look-up'!$G$4,$V6-4,0))</f>
        <v>0</v>
      </c>
      <c r="I6" s="168" t="str">
        <f ca="1">IF(ISERROR($V6),"",OFFSET('Smelter Look-up'!$H$4,$V6-4,0))</f>
        <v>Gejiu</v>
      </c>
      <c r="J6" s="168" t="str">
        <f ca="1">IF(ISERROR($V6),"",OFFSET('Smelter Look-up'!$I$4,$V6-4,0))</f>
        <v>Yunnan Sheng</v>
      </c>
      <c r="K6" s="207"/>
      <c r="L6" s="207"/>
      <c r="M6" s="207"/>
      <c r="N6" s="207"/>
      <c r="O6" s="207"/>
      <c r="P6" s="169"/>
      <c r="Q6" s="208"/>
      <c r="R6" s="166" t="str">
        <f ca="1">IF(ISERROR($V6),"",OFFSET('Smelter Look-up'!$C$4,$V6-4,0)&amp;"")</f>
        <v>Tin Smelting Branch of Yunnan Tin Co., Ltd.</v>
      </c>
      <c r="S6" s="165" t="str">
        <f t="shared" ref="S6:S37" ca="1" si="2">IF(B6="","",IF(ISERROR(MATCH($E6,CL,0)),"Unknown",INDIRECT("'C'!$A$"&amp;MATCH($E6,CL,0)+1)))</f>
        <v>CN</v>
      </c>
      <c r="T6" s="165" t="str">
        <f ca="1">IF(B6="","",IF(ISERROR(MATCH($J6,SorP!$B$1:$B$6261,0)),"",INDIRECT("'SorP'!$A$"&amp;MATCH($S6&amp;$J6,SorP!C:C,0))))</f>
        <v>CN-YN</v>
      </c>
      <c r="U6" s="185"/>
      <c r="V6" s="209">
        <f ca="1">IF(C6="",NA(),IF(OR(C6="Smelter not listed",C6="Smelter not yet identified"),MATCH($B6&amp;$D6,'Smelter Look-up'!$J:$J,0),MATCH($B6&amp;$C6,'Smelter Look-up'!$J:$J,0)))</f>
        <v>546</v>
      </c>
      <c r="X6" s="210">
        <f t="shared" ref="X6:X37" ca="1" si="3">IF(AND(C6="Smelter not listed",OR(LEN(D6)=0,LEN(E6)=0)),1,0)</f>
        <v>0</v>
      </c>
      <c r="AB6" s="211" t="str">
        <f t="shared" ref="AB6:AB37" ca="1" si="4">B6&amp;C6</f>
        <v>TinTin Smelting Branch of Yunnan Tin Co., Ltd.</v>
      </c>
    </row>
    <row r="7" spans="1:34" s="210" customFormat="1" ht="20.100000000000001" customHeight="1">
      <c r="A7" s="245" t="s">
        <v>677</v>
      </c>
      <c r="B7" s="166" t="str">
        <f ca="1">IF(LEN(A7)=0,"",INDEX('Smelter Look-up'!$A:$A,MATCH($A7,'Smelter Look-up'!$E:$E,0)))</f>
        <v>Gold</v>
      </c>
      <c r="C7" s="170" t="str">
        <f ca="1">IF(LEN(A7)=0,"",INDEX('Smelter Look-up'!$C:$C,MATCH($A7,'Smelter Look-up'!$E:$E,0)))</f>
        <v>Metalor Technologies (Hong Kong) Ltd.</v>
      </c>
      <c r="D7" s="213"/>
      <c r="E7" s="166" t="str">
        <f ca="1">IF(ISERROR($V7),"",OFFSET('Smelter Look-up'!$D$4,$V7-4,0)&amp;"")</f>
        <v>CHINA</v>
      </c>
      <c r="F7" s="166" t="str">
        <f ca="1">IF(ISERROR($V7),"",OFFSET('Smelter Look-up'!$E$4,$V7-4,0))</f>
        <v>CID001149</v>
      </c>
      <c r="G7" s="166" t="str">
        <f ca="1">IF(C7=$X$4,IF(ISERROR($V7),"Enter smelter details","RMI"),IF(ISERROR($V7),"",OFFSET('Smelter Look-up'!$F$4,$V7-4,0)))</f>
        <v>RMI</v>
      </c>
      <c r="H7" s="167">
        <f ca="1">IF(ISERROR($V7),"",OFFSET('Smelter Look-up'!$G$4,$V7-4,0))</f>
        <v>0</v>
      </c>
      <c r="I7" s="168" t="str">
        <f ca="1">IF(ISERROR($V7),"",OFFSET('Smelter Look-up'!$H$4,$V7-4,0))</f>
        <v>Yuen Long</v>
      </c>
      <c r="J7" s="168" t="str">
        <f ca="1">IF(ISERROR($V7),"",OFFSET('Smelter Look-up'!$I$4,$V7-4,0))</f>
        <v>Hong Kong SAR</v>
      </c>
      <c r="K7" s="207"/>
      <c r="L7" s="207"/>
      <c r="M7" s="207"/>
      <c r="N7" s="207"/>
      <c r="O7" s="207"/>
      <c r="P7" s="169"/>
      <c r="Q7" s="208"/>
      <c r="R7" s="166" t="str">
        <f ca="1">IF(ISERROR($V7),"",OFFSET('Smelter Look-up'!$C$4,$V7-4,0)&amp;"")</f>
        <v>Metalor Technologies (Hong Kong) Ltd.</v>
      </c>
      <c r="S7" s="165" t="str">
        <f t="shared" ca="1" si="2"/>
        <v>CN</v>
      </c>
      <c r="T7" s="165" t="str">
        <f ca="1">IF(B7="","",IF(ISERROR(MATCH($J7,SorP!$B$1:$B$6261,0)),"",INDIRECT("'SorP'!$A$"&amp;MATCH($S7&amp;$J7,SorP!C:C,0))))</f>
        <v/>
      </c>
      <c r="U7" s="185"/>
      <c r="V7" s="209">
        <f ca="1">IF(C7="",NA(),IF(OR(C7="Smelter not listed",C7="Smelter not yet identified"),MATCH($B7&amp;$D7,'Smelter Look-up'!$J:$J,0),MATCH($B7&amp;$C7,'Smelter Look-up'!$J:$J,0)))</f>
        <v>193</v>
      </c>
      <c r="X7" s="210">
        <f t="shared" ca="1" si="3"/>
        <v>0</v>
      </c>
      <c r="AB7" s="211" t="str">
        <f t="shared" ca="1" si="4"/>
        <v>GoldMetalor Technologies (Hong Kong) Ltd.</v>
      </c>
    </row>
    <row r="8" spans="1:34" s="210" customFormat="1" ht="20.100000000000001" customHeight="1">
      <c r="A8" s="245" t="s">
        <v>679</v>
      </c>
      <c r="B8" s="166" t="str">
        <f ca="1">IF(LEN(A8)=0,"",INDEX('Smelter Look-up'!$A:$A,MATCH($A8,'Smelter Look-up'!$E:$E,0)))</f>
        <v>Gold</v>
      </c>
      <c r="C8" s="170" t="str">
        <f ca="1">IF(LEN(A8)=0,"",INDEX('Smelter Look-up'!$C:$C,MATCH($A8,'Smelter Look-up'!$E:$E,0)))</f>
        <v>Metalor Technologies S.A.</v>
      </c>
      <c r="D8" s="213"/>
      <c r="E8" s="166" t="str">
        <f ca="1">IF(ISERROR($V8),"",OFFSET('Smelter Look-up'!$D$4,$V8-4,0)&amp;"")</f>
        <v>SWITZERLAND</v>
      </c>
      <c r="F8" s="166" t="str">
        <f ca="1">IF(ISERROR($V8),"",OFFSET('Smelter Look-up'!$E$4,$V8-4,0))</f>
        <v>CID001153</v>
      </c>
      <c r="G8" s="166" t="str">
        <f ca="1">IF(C8=$X$4,IF(ISERROR($V8),"Enter smelter details","RMI"),IF(ISERROR($V8),"",OFFSET('Smelter Look-up'!$F$4,$V8-4,0)))</f>
        <v>RMI</v>
      </c>
      <c r="H8" s="167">
        <f ca="1">IF(ISERROR($V8),"",OFFSET('Smelter Look-up'!$G$4,$V8-4,0))</f>
        <v>0</v>
      </c>
      <c r="I8" s="168" t="str">
        <f ca="1">IF(ISERROR($V8),"",OFFSET('Smelter Look-up'!$H$4,$V8-4,0))</f>
        <v>Marin</v>
      </c>
      <c r="J8" s="168" t="str">
        <f ca="1">IF(ISERROR($V8),"",OFFSET('Smelter Look-up'!$I$4,$V8-4,0))</f>
        <v>Neuchâtel</v>
      </c>
      <c r="K8" s="207"/>
      <c r="L8" s="207"/>
      <c r="M8" s="207"/>
      <c r="N8" s="207"/>
      <c r="O8" s="207"/>
      <c r="P8" s="169"/>
      <c r="Q8" s="208"/>
      <c r="R8" s="166" t="str">
        <f ca="1">IF(ISERROR($V8),"",OFFSET('Smelter Look-up'!$C$4,$V8-4,0)&amp;"")</f>
        <v>Metalor Technologies S.A.</v>
      </c>
      <c r="S8" s="165" t="str">
        <f t="shared" ca="1" si="2"/>
        <v>CH</v>
      </c>
      <c r="T8" s="165" t="str">
        <f ca="1">IF(B8="","",IF(ISERROR(MATCH($J8,SorP!$B$1:$B$6261,0)),"",INDIRECT("'SorP'!$A$"&amp;MATCH($S8&amp;$J8,SorP!C:C,0))))</f>
        <v>CH-NE</v>
      </c>
      <c r="U8" s="185"/>
      <c r="V8" s="209">
        <f ca="1">IF(C8="",NA(),IF(OR(C8="Smelter not listed",C8="Smelter not yet identified"),MATCH($B8&amp;$D8,'Smelter Look-up'!$J:$J,0),MATCH($B8&amp;$C8,'Smelter Look-up'!$J:$J,0)))</f>
        <v>196</v>
      </c>
      <c r="X8" s="210">
        <f t="shared" ca="1" si="3"/>
        <v>0</v>
      </c>
      <c r="AB8" s="211" t="str">
        <f t="shared" ca="1" si="4"/>
        <v>GoldMetalor Technologies S.A.</v>
      </c>
    </row>
    <row r="9" spans="1:34" s="210" customFormat="1" ht="20.100000000000001" customHeight="1">
      <c r="A9" s="245" t="s">
        <v>678</v>
      </c>
      <c r="B9" s="166" t="str">
        <f ca="1">IF(LEN(A9)=0,"",INDEX('Smelter Look-up'!$A:$A,MATCH($A9,'Smelter Look-up'!$E:$E,0)))</f>
        <v>Gold</v>
      </c>
      <c r="C9" s="170" t="str">
        <f ca="1">IF(LEN(A9)=0,"",INDEX('Smelter Look-up'!$C:$C,MATCH($A9,'Smelter Look-up'!$E:$E,0)))</f>
        <v>Metalor Technologies (Singapore) Pte., Ltd.</v>
      </c>
      <c r="D9" s="213"/>
      <c r="E9" s="166" t="str">
        <f ca="1">IF(ISERROR($V9),"",OFFSET('Smelter Look-up'!$D$4,$V9-4,0)&amp;"")</f>
        <v>SINGAPORE</v>
      </c>
      <c r="F9" s="166" t="str">
        <f ca="1">IF(ISERROR($V9),"",OFFSET('Smelter Look-up'!$E$4,$V9-4,0))</f>
        <v>CID001152</v>
      </c>
      <c r="G9" s="166" t="str">
        <f ca="1">IF(C9=$X$4,IF(ISERROR($V9),"Enter smelter details","RMI"),IF(ISERROR($V9),"",OFFSET('Smelter Look-up'!$F$4,$V9-4,0)))</f>
        <v>RMI</v>
      </c>
      <c r="H9" s="167">
        <f ca="1">IF(ISERROR($V9),"",OFFSET('Smelter Look-up'!$G$4,$V9-4,0))</f>
        <v>0</v>
      </c>
      <c r="I9" s="168" t="str">
        <f ca="1">IF(ISERROR($V9),"",OFFSET('Smelter Look-up'!$H$4,$V9-4,0))</f>
        <v>Singapore</v>
      </c>
      <c r="J9" s="168" t="str">
        <f ca="1">IF(ISERROR($V9),"",OFFSET('Smelter Look-up'!$I$4,$V9-4,0))</f>
        <v>South West</v>
      </c>
      <c r="K9" s="207"/>
      <c r="L9" s="207"/>
      <c r="M9" s="207"/>
      <c r="N9" s="207"/>
      <c r="O9" s="207"/>
      <c r="P9" s="169"/>
      <c r="Q9" s="208"/>
      <c r="R9" s="166" t="str">
        <f ca="1">IF(ISERROR($V9),"",OFFSET('Smelter Look-up'!$C$4,$V9-4,0)&amp;"")</f>
        <v>Metalor Technologies (Singapore) Pte., Ltd.</v>
      </c>
      <c r="S9" s="165" t="str">
        <f t="shared" ca="1" si="2"/>
        <v>SG</v>
      </c>
      <c r="T9" s="165" t="str">
        <f ca="1">IF(B9="","",IF(ISERROR(MATCH($J9,SorP!$B$1:$B$6261,0)),"",INDIRECT("'SorP'!$A$"&amp;MATCH($S9&amp;$J9,SorP!C:C,0))))</f>
        <v>SG-05</v>
      </c>
      <c r="U9" s="185"/>
      <c r="V9" s="209">
        <f ca="1">IF(C9="",NA(),IF(OR(C9="Smelter not listed",C9="Smelter not yet identified"),MATCH($B9&amp;$D9,'Smelter Look-up'!$J:$J,0),MATCH($B9&amp;$C9,'Smelter Look-up'!$J:$J,0)))</f>
        <v>194</v>
      </c>
      <c r="X9" s="210">
        <f t="shared" ca="1" si="3"/>
        <v>0</v>
      </c>
      <c r="AB9" s="211" t="str">
        <f t="shared" ca="1" si="4"/>
        <v>GoldMetalor Technologies (Singapore) Pte., Ltd.</v>
      </c>
    </row>
    <row r="10" spans="1:34" s="210" customFormat="1" ht="20.100000000000001" customHeight="1">
      <c r="A10" s="245" t="s">
        <v>680</v>
      </c>
      <c r="B10" s="166" t="str">
        <f ca="1">IF(LEN(A10)=0,"",INDEX('Smelter Look-up'!$A:$A,MATCH($A10,'Smelter Look-up'!$E:$E,0)))</f>
        <v>Gold</v>
      </c>
      <c r="C10" s="170" t="str">
        <f ca="1">IF(LEN(A10)=0,"",INDEX('Smelter Look-up'!$C:$C,MATCH($A10,'Smelter Look-up'!$E:$E,0)))</f>
        <v>Metalor USA Refining Corporation</v>
      </c>
      <c r="D10" s="213"/>
      <c r="E10" s="166" t="str">
        <f ca="1">IF(ISERROR($V10),"",OFFSET('Smelter Look-up'!$D$4,$V10-4,0)&amp;"")</f>
        <v>UNITED STATES OF AMERICA</v>
      </c>
      <c r="F10" s="166" t="str">
        <f ca="1">IF(ISERROR($V10),"",OFFSET('Smelter Look-up'!$E$4,$V10-4,0))</f>
        <v>CID001157</v>
      </c>
      <c r="G10" s="166" t="str">
        <f ca="1">IF(C10=$X$4,IF(ISERROR($V10),"Enter smelter details","RMI"),IF(ISERROR($V10),"",OFFSET('Smelter Look-up'!$F$4,$V10-4,0)))</f>
        <v>RMI</v>
      </c>
      <c r="H10" s="167">
        <f ca="1">IF(ISERROR($V10),"",OFFSET('Smelter Look-up'!$G$4,$V10-4,0))</f>
        <v>0</v>
      </c>
      <c r="I10" s="168" t="str">
        <f ca="1">IF(ISERROR($V10),"",OFFSET('Smelter Look-up'!$H$4,$V10-4,0))</f>
        <v>North Attleboro</v>
      </c>
      <c r="J10" s="168" t="str">
        <f ca="1">IF(ISERROR($V10),"",OFFSET('Smelter Look-up'!$I$4,$V10-4,0))</f>
        <v>Massachusetts</v>
      </c>
      <c r="K10" s="207"/>
      <c r="L10" s="207"/>
      <c r="M10" s="207"/>
      <c r="N10" s="207"/>
      <c r="O10" s="207"/>
      <c r="P10" s="169"/>
      <c r="Q10" s="208"/>
      <c r="R10" s="166" t="str">
        <f ca="1">IF(ISERROR($V10),"",OFFSET('Smelter Look-up'!$C$4,$V10-4,0)&amp;"")</f>
        <v>Metalor USA Refining Corporation</v>
      </c>
      <c r="S10" s="165" t="str">
        <f t="shared" ca="1" si="2"/>
        <v>US</v>
      </c>
      <c r="T10" s="165" t="str">
        <f ca="1">IF(B10="","",IF(ISERROR(MATCH($J10,SorP!$B$1:$B$6261,0)),"",INDIRECT("'SorP'!$A$"&amp;MATCH($S10&amp;$J10,SorP!C:C,0))))</f>
        <v>US-MA</v>
      </c>
      <c r="U10" s="185"/>
      <c r="V10" s="209">
        <f ca="1">IF(C10="",NA(),IF(OR(C10="Smelter not listed",C10="Smelter not yet identified"),MATCH($B10&amp;$D10,'Smelter Look-up'!$J:$J,0),MATCH($B10&amp;$C10,'Smelter Look-up'!$J:$J,0)))</f>
        <v>197</v>
      </c>
      <c r="X10" s="210">
        <f t="shared" ca="1" si="3"/>
        <v>0</v>
      </c>
      <c r="AB10" s="211" t="str">
        <f t="shared" ca="1" si="4"/>
        <v>GoldMetalor USA Refining Corporation</v>
      </c>
    </row>
    <row r="11" spans="1:34" s="210" customFormat="1" ht="20.100000000000001" customHeight="1">
      <c r="A11" s="245" t="s">
        <v>1562</v>
      </c>
      <c r="B11" s="166" t="str">
        <f ca="1">IF(LEN(A11)=0,"",INDEX('Smelter Look-up'!$A:$A,MATCH($A11,'Smelter Look-up'!$E:$E,0)))</f>
        <v>Gold</v>
      </c>
      <c r="C11" s="170" t="str">
        <f ca="1">IF(LEN(A11)=0,"",INDEX('Smelter Look-up'!$C:$C,MATCH($A11,'Smelter Look-up'!$E:$E,0)))</f>
        <v>Metalor Technologies (Suzhou) Ltd.</v>
      </c>
      <c r="D11" s="213"/>
      <c r="E11" s="166" t="str">
        <f ca="1">IF(ISERROR($V11),"",OFFSET('Smelter Look-up'!$D$4,$V11-4,0)&amp;"")</f>
        <v>CHINA</v>
      </c>
      <c r="F11" s="166" t="str">
        <f ca="1">IF(ISERROR($V11),"",OFFSET('Smelter Look-up'!$E$4,$V11-4,0))</f>
        <v>CID001147</v>
      </c>
      <c r="G11" s="166" t="str">
        <f ca="1">IF(C11=$X$4,IF(ISERROR($V11),"Enter smelter details","RMI"),IF(ISERROR($V11),"",OFFSET('Smelter Look-up'!$F$4,$V11-4,0)))</f>
        <v>RMI</v>
      </c>
      <c r="H11" s="167">
        <f ca="1">IF(ISERROR($V11),"",OFFSET('Smelter Look-up'!$G$4,$V11-4,0))</f>
        <v>0</v>
      </c>
      <c r="I11" s="168" t="str">
        <f ca="1">IF(ISERROR($V11),"",OFFSET('Smelter Look-up'!$H$4,$V11-4,0))</f>
        <v>Suzhou</v>
      </c>
      <c r="J11" s="168" t="str">
        <f ca="1">IF(ISERROR($V11),"",OFFSET('Smelter Look-up'!$I$4,$V11-4,0))</f>
        <v>Jiangsu Sheng</v>
      </c>
      <c r="K11" s="207"/>
      <c r="L11" s="207"/>
      <c r="M11" s="207"/>
      <c r="N11" s="207"/>
      <c r="O11" s="207"/>
      <c r="P11" s="169"/>
      <c r="Q11" s="208"/>
      <c r="R11" s="166" t="str">
        <f ca="1">IF(ISERROR($V11),"",OFFSET('Smelter Look-up'!$C$4,$V11-4,0)&amp;"")</f>
        <v>Metalor Technologies (Suzhou) Ltd.</v>
      </c>
      <c r="S11" s="165" t="str">
        <f t="shared" ca="1" si="2"/>
        <v>CN</v>
      </c>
      <c r="T11" s="165" t="str">
        <f ca="1">IF(B11="","",IF(ISERROR(MATCH($J11,SorP!$B$1:$B$6261,0)),"",INDIRECT("'SorP'!$A$"&amp;MATCH($S11&amp;$J11,SorP!C:C,0))))</f>
        <v>CN-JS</v>
      </c>
      <c r="U11" s="185"/>
      <c r="V11" s="209">
        <f ca="1">IF(C11="",NA(),IF(OR(C11="Smelter not listed",C11="Smelter not yet identified"),MATCH($B11&amp;$D11,'Smelter Look-up'!$J:$J,0),MATCH($B11&amp;$C11,'Smelter Look-up'!$J:$J,0)))</f>
        <v>195</v>
      </c>
      <c r="X11" s="210">
        <f t="shared" ca="1" si="3"/>
        <v>0</v>
      </c>
      <c r="AB11" s="211" t="str">
        <f t="shared" ca="1" si="4"/>
        <v>GoldMetalor Technologies (Suzhou) Ltd.</v>
      </c>
    </row>
    <row r="12" spans="1:34" s="210" customFormat="1" ht="20.100000000000001" customHeight="1">
      <c r="A12" s="245" t="s">
        <v>1728</v>
      </c>
      <c r="B12" s="166" t="str">
        <f ca="1">IF(LEN(A12)=0,"",INDEX('Smelter Look-up'!$A:$A,MATCH($A12,'Smelter Look-up'!$E:$E,0)))</f>
        <v>Tin</v>
      </c>
      <c r="C12" s="170" t="str">
        <f ca="1">IF(LEN(A12)=0,"",INDEX('Smelter Look-up'!$C:$C,MATCH($A12,'Smelter Look-up'!$E:$E,0)))</f>
        <v>Aurubis Beerse</v>
      </c>
      <c r="D12" s="213"/>
      <c r="E12" s="166" t="str">
        <f ca="1">IF(ISERROR($V12),"",OFFSET('Smelter Look-up'!$D$4,$V12-4,0)&amp;"")</f>
        <v>BELGIUM</v>
      </c>
      <c r="F12" s="166" t="str">
        <f ca="1">IF(ISERROR($V12),"",OFFSET('Smelter Look-up'!$E$4,$V12-4,0))</f>
        <v>CID002773</v>
      </c>
      <c r="G12" s="166" t="str">
        <f ca="1">IF(C12=$X$4,IF(ISERROR($V12),"Enter smelter details","RMI"),IF(ISERROR($V12),"",OFFSET('Smelter Look-up'!$F$4,$V12-4,0)))</f>
        <v>RMI</v>
      </c>
      <c r="H12" s="167">
        <f ca="1">IF(ISERROR($V12),"",OFFSET('Smelter Look-up'!$G$4,$V12-4,0))</f>
        <v>0</v>
      </c>
      <c r="I12" s="168" t="str">
        <f ca="1">IF(ISERROR($V12),"",OFFSET('Smelter Look-up'!$H$4,$V12-4,0))</f>
        <v>Beerse</v>
      </c>
      <c r="J12" s="168" t="str">
        <f ca="1">IF(ISERROR($V12),"",OFFSET('Smelter Look-up'!$I$4,$V12-4,0))</f>
        <v>Antwerpen</v>
      </c>
      <c r="K12" s="207"/>
      <c r="L12" s="207"/>
      <c r="M12" s="207"/>
      <c r="N12" s="207"/>
      <c r="O12" s="207"/>
      <c r="P12" s="169"/>
      <c r="Q12" s="208"/>
      <c r="R12" s="166" t="str">
        <f ca="1">IF(ISERROR($V12),"",OFFSET('Smelter Look-up'!$C$4,$V12-4,0)&amp;"")</f>
        <v>Aurubis Beerse</v>
      </c>
      <c r="S12" s="165" t="str">
        <f t="shared" ca="1" si="2"/>
        <v>BE</v>
      </c>
      <c r="T12" s="165" t="str">
        <f ca="1">IF(B12="","",IF(ISERROR(MATCH($J12,SorP!$B$1:$B$6261,0)),"",INDIRECT("'SorP'!$A$"&amp;MATCH($S12&amp;$J12,SorP!C:C,0))))</f>
        <v>BE-VAN</v>
      </c>
      <c r="U12" s="185"/>
      <c r="V12" s="209">
        <f ca="1">IF(C12="",NA(),IF(OR(C12="Smelter not listed",C12="Smelter not yet identified"),MATCH($B12&amp;$D12,'Smelter Look-up'!$J:$J,0),MATCH($B12&amp;$C12,'Smelter Look-up'!$J:$J,0)))</f>
        <v>423</v>
      </c>
      <c r="X12" s="210">
        <f t="shared" ca="1" si="3"/>
        <v>0</v>
      </c>
      <c r="AB12" s="211" t="str">
        <f t="shared" ca="1" si="4"/>
        <v>TinAurubis Beerse</v>
      </c>
    </row>
    <row r="13" spans="1:34" s="210" customFormat="1" ht="20.100000000000001" customHeight="1">
      <c r="A13" s="245" t="s">
        <v>14529</v>
      </c>
      <c r="B13" s="166" t="str">
        <f ca="1">IF(LEN(A13)=0,"",INDEX('Smelter Look-up'!$A:$A,MATCH($A13,'Smelter Look-up'!$E:$E,0)))</f>
        <v>Tin</v>
      </c>
      <c r="C13" s="170" t="str">
        <f ca="1">IF(LEN(A13)=0,"",INDEX('Smelter Look-up'!$C:$C,MATCH($A13,'Smelter Look-up'!$E:$E,0)))</f>
        <v>CRM Synergies EMEA, S.L.U.</v>
      </c>
      <c r="D13" s="213"/>
      <c r="E13" s="166" t="str">
        <f ca="1">IF(ISERROR($V13),"",OFFSET('Smelter Look-up'!$D$4,$V13-4,0)&amp;"")</f>
        <v>SPAIN</v>
      </c>
      <c r="F13" s="166" t="str">
        <f ca="1">IF(ISERROR($V13),"",OFFSET('Smelter Look-up'!$E$4,$V13-4,0))</f>
        <v>CID003524</v>
      </c>
      <c r="G13" s="166" t="str">
        <f ca="1">IF(C13=$X$4,IF(ISERROR($V13),"Enter smelter details","RMI"),IF(ISERROR($V13),"",OFFSET('Smelter Look-up'!$F$4,$V13-4,0)))</f>
        <v>RMI</v>
      </c>
      <c r="H13" s="167">
        <f ca="1">IF(ISERROR($V13),"",OFFSET('Smelter Look-up'!$G$4,$V13-4,0))</f>
        <v>0</v>
      </c>
      <c r="I13" s="168" t="str">
        <f ca="1">IF(ISERROR($V13),"",OFFSET('Smelter Look-up'!$H$4,$V13-4,0))</f>
        <v>Las Ventas de Retamosa</v>
      </c>
      <c r="J13" s="168" t="str">
        <f ca="1">IF(ISERROR($V13),"",OFFSET('Smelter Look-up'!$I$4,$V13-4,0))</f>
        <v>Toledo</v>
      </c>
      <c r="K13" s="207"/>
      <c r="L13" s="207"/>
      <c r="M13" s="207"/>
      <c r="N13" s="207"/>
      <c r="O13" s="207"/>
      <c r="P13" s="169"/>
      <c r="Q13" s="208"/>
      <c r="R13" s="166" t="str">
        <f ca="1">IF(ISERROR($V13),"",OFFSET('Smelter Look-up'!$C$4,$V13-4,0)&amp;"")</f>
        <v>CRM Synergies EMEA, S.L.U.</v>
      </c>
      <c r="S13" s="165" t="str">
        <f t="shared" ca="1" si="2"/>
        <v>ES</v>
      </c>
      <c r="T13" s="165" t="str">
        <f ca="1">IF(B13="","",IF(ISERROR(MATCH($J13,SorP!$B$1:$B$6261,0)),"",INDIRECT("'SorP'!$A$"&amp;MATCH($S13&amp;$J13,SorP!C:C,0))))</f>
        <v>ES-TO</v>
      </c>
      <c r="U13" s="185"/>
      <c r="V13" s="209">
        <f ca="1">IF(C13="",NA(),IF(OR(C13="Smelter not listed",C13="Smelter not yet identified"),MATCH($B13&amp;$D13,'Smelter Look-up'!$J:$J,0),MATCH($B13&amp;$C13,'Smelter Look-up'!$J:$J,0)))</f>
        <v>442</v>
      </c>
      <c r="X13" s="210">
        <f t="shared" ca="1" si="3"/>
        <v>0</v>
      </c>
      <c r="AB13" s="211" t="str">
        <f t="shared" ca="1" si="4"/>
        <v>TinCRM Synergies EMEA, S.L.U.</v>
      </c>
    </row>
    <row r="14" spans="1:34" s="210" customFormat="1" ht="20.100000000000001" customHeight="1">
      <c r="A14" s="245" t="s">
        <v>754</v>
      </c>
      <c r="B14" s="166" t="str">
        <f ca="1">IF(LEN(A14)=0,"",INDEX('Smelter Look-up'!$A:$A,MATCH($A14,'Smelter Look-up'!$E:$E,0)))</f>
        <v>Tin</v>
      </c>
      <c r="C14" s="170" t="str">
        <f ca="1">IF(LEN(A14)=0,"",INDEX('Smelter Look-up'!$C:$C,MATCH($A14,'Smelter Look-up'!$E:$E,0)))</f>
        <v>White Solder Metalurgia e Mineracao Ltda.</v>
      </c>
      <c r="D14" s="213"/>
      <c r="E14" s="166" t="str">
        <f ca="1">IF(ISERROR($V14),"",OFFSET('Smelter Look-up'!$D$4,$V14-4,0)&amp;"")</f>
        <v>BRAZIL</v>
      </c>
      <c r="F14" s="166" t="str">
        <f ca="1">IF(ISERROR($V14),"",OFFSET('Smelter Look-up'!$E$4,$V14-4,0))</f>
        <v>CID002036</v>
      </c>
      <c r="G14" s="166" t="str">
        <f ca="1">IF(C14=$X$4,IF(ISERROR($V14),"Enter smelter details","RMI"),IF(ISERROR($V14),"",OFFSET('Smelter Look-up'!$F$4,$V14-4,0)))</f>
        <v>RMI</v>
      </c>
      <c r="H14" s="167">
        <f ca="1">IF(ISERROR($V14),"",OFFSET('Smelter Look-up'!$G$4,$V14-4,0))</f>
        <v>0</v>
      </c>
      <c r="I14" s="168" t="str">
        <f ca="1">IF(ISERROR($V14),"",OFFSET('Smelter Look-up'!$H$4,$V14-4,0))</f>
        <v>Ariquemes</v>
      </c>
      <c r="J14" s="168" t="str">
        <f ca="1">IF(ISERROR($V14),"",OFFSET('Smelter Look-up'!$I$4,$V14-4,0))</f>
        <v>Rondônia</v>
      </c>
      <c r="K14" s="207"/>
      <c r="L14" s="207"/>
      <c r="M14" s="207"/>
      <c r="N14" s="207"/>
      <c r="O14" s="207"/>
      <c r="P14" s="169"/>
      <c r="Q14" s="208"/>
      <c r="R14" s="166" t="str">
        <f ca="1">IF(ISERROR($V14),"",OFFSET('Smelter Look-up'!$C$4,$V14-4,0)&amp;"")</f>
        <v>White Solder Metalurgia e Mineracao Ltda.</v>
      </c>
      <c r="S14" s="165" t="str">
        <f t="shared" ca="1" si="2"/>
        <v>BR</v>
      </c>
      <c r="T14" s="165" t="str">
        <f ca="1">IF(B14="","",IF(ISERROR(MATCH($J14,SorP!$B$1:$B$6261,0)),"",INDIRECT("'SorP'!$A$"&amp;MATCH($S14&amp;$J14,SorP!C:C,0))))</f>
        <v>BR-RO</v>
      </c>
      <c r="U14" s="185"/>
      <c r="V14" s="209">
        <f ca="1">IF(C14="",NA(),IF(OR(C14="Smelter not listed",C14="Smelter not yet identified"),MATCH($B14&amp;$D14,'Smelter Look-up'!$J:$J,0),MATCH($B14&amp;$C14,'Smelter Look-up'!$J:$J,0)))</f>
        <v>551</v>
      </c>
      <c r="X14" s="210">
        <f t="shared" ca="1" si="3"/>
        <v>0</v>
      </c>
      <c r="AB14" s="211" t="str">
        <f t="shared" ca="1" si="4"/>
        <v>TinWhite Solder Metalurgia e Mineracao Ltda.</v>
      </c>
    </row>
    <row r="15" spans="1:34" s="210" customFormat="1" ht="20.100000000000001" customHeight="1">
      <c r="A15" s="245" t="s">
        <v>738</v>
      </c>
      <c r="B15" s="166" t="str">
        <f ca="1">IF(LEN(A15)=0,"",INDEX('Smelter Look-up'!$A:$A,MATCH($A15,'Smelter Look-up'!$E:$E,0)))</f>
        <v>Tin</v>
      </c>
      <c r="C15" s="170" t="str">
        <f ca="1">IF(LEN(A15)=0,"",INDEX('Smelter Look-up'!$C:$C,MATCH($A15,'Smelter Look-up'!$E:$E,0)))</f>
        <v>Fenix Metals</v>
      </c>
      <c r="D15" s="213"/>
      <c r="E15" s="166" t="str">
        <f ca="1">IF(ISERROR($V15),"",OFFSET('Smelter Look-up'!$D$4,$V15-4,0)&amp;"")</f>
        <v>POLAND</v>
      </c>
      <c r="F15" s="166" t="str">
        <f ca="1">IF(ISERROR($V15),"",OFFSET('Smelter Look-up'!$E$4,$V15-4,0))</f>
        <v>CID000468</v>
      </c>
      <c r="G15" s="166" t="str">
        <f ca="1">IF(C15=$X$4,IF(ISERROR($V15),"Enter smelter details","RMI"),IF(ISERROR($V15),"",OFFSET('Smelter Look-up'!$F$4,$V15-4,0)))</f>
        <v>RMI</v>
      </c>
      <c r="H15" s="167">
        <f ca="1">IF(ISERROR($V15),"",OFFSET('Smelter Look-up'!$G$4,$V15-4,0))</f>
        <v>0</v>
      </c>
      <c r="I15" s="168" t="str">
        <f ca="1">IF(ISERROR($V15),"",OFFSET('Smelter Look-up'!$H$4,$V15-4,0))</f>
        <v>Chmielów</v>
      </c>
      <c r="J15" s="168" t="str">
        <f ca="1">IF(ISERROR($V15),"",OFFSET('Smelter Look-up'!$I$4,$V15-4,0))</f>
        <v>Podkarpackie</v>
      </c>
      <c r="K15" s="207"/>
      <c r="L15" s="207"/>
      <c r="M15" s="207"/>
      <c r="N15" s="207"/>
      <c r="O15" s="207"/>
      <c r="P15" s="169"/>
      <c r="Q15" s="208"/>
      <c r="R15" s="166" t="str">
        <f ca="1">IF(ISERROR($V15),"",OFFSET('Smelter Look-up'!$C$4,$V15-4,0)&amp;"")</f>
        <v>Fenix Metals</v>
      </c>
      <c r="S15" s="165" t="str">
        <f t="shared" ca="1" si="2"/>
        <v>PL</v>
      </c>
      <c r="T15" s="165" t="str">
        <f ca="1">IF(B15="","",IF(ISERROR(MATCH($J15,SorP!$B$1:$B$6261,0)),"",INDIRECT("'SorP'!$A$"&amp;MATCH($S15&amp;$J15,SorP!C:C,0))))</f>
        <v>PL-18</v>
      </c>
      <c r="U15" s="185"/>
      <c r="V15" s="209">
        <f ca="1">IF(C15="",NA(),IF(OR(C15="Smelter not listed",C15="Smelter not yet identified"),MATCH($B15&amp;$D15,'Smelter Look-up'!$J:$J,0),MATCH($B15&amp;$C15,'Smelter Look-up'!$J:$J,0)))</f>
        <v>462</v>
      </c>
      <c r="X15" s="210">
        <f t="shared" ca="1" si="3"/>
        <v>0</v>
      </c>
      <c r="AB15" s="211" t="str">
        <f t="shared" ca="1" si="4"/>
        <v>TinFenix Metals</v>
      </c>
    </row>
    <row r="16" spans="1:34" s="210" customFormat="1" ht="20.100000000000001" customHeight="1">
      <c r="A16" s="245" t="s">
        <v>767</v>
      </c>
      <c r="B16" s="166" t="str">
        <f ca="1">IF(LEN(A16)=0,"",INDEX('Smelter Look-up'!$A:$A,MATCH($A16,'Smelter Look-up'!$E:$E,0)))</f>
        <v>Tin</v>
      </c>
      <c r="C16" s="170" t="str">
        <f ca="1">IF(LEN(A16)=0,"",INDEX('Smelter Look-up'!$C:$C,MATCH($A16,'Smelter Look-up'!$E:$E,0)))</f>
        <v>PT Timah Tbk Kundur</v>
      </c>
      <c r="D16" s="213"/>
      <c r="E16" s="166" t="str">
        <f ca="1">IF(ISERROR($V16),"",OFFSET('Smelter Look-up'!$D$4,$V16-4,0)&amp;"")</f>
        <v>INDONESIA</v>
      </c>
      <c r="F16" s="166" t="str">
        <f ca="1">IF(ISERROR($V16),"",OFFSET('Smelter Look-up'!$E$4,$V16-4,0))</f>
        <v>CID001477</v>
      </c>
      <c r="G16" s="166" t="str">
        <f ca="1">IF(C16=$X$4,IF(ISERROR($V16),"Enter smelter details","RMI"),IF(ISERROR($V16),"",OFFSET('Smelter Look-up'!$F$4,$V16-4,0)))</f>
        <v>RMI</v>
      </c>
      <c r="H16" s="167">
        <f ca="1">IF(ISERROR($V16),"",OFFSET('Smelter Look-up'!$G$4,$V16-4,0))</f>
        <v>0</v>
      </c>
      <c r="I16" s="168" t="str">
        <f ca="1">IF(ISERROR($V16),"",OFFSET('Smelter Look-up'!$H$4,$V16-4,0))</f>
        <v>Kundur</v>
      </c>
      <c r="J16" s="168" t="str">
        <f ca="1">IF(ISERROR($V16),"",OFFSET('Smelter Look-up'!$I$4,$V16-4,0))</f>
        <v>Riau</v>
      </c>
      <c r="K16" s="207"/>
      <c r="L16" s="207"/>
      <c r="M16" s="207"/>
      <c r="N16" s="207"/>
      <c r="O16" s="207"/>
      <c r="P16" s="169"/>
      <c r="Q16" s="208"/>
      <c r="R16" s="166" t="str">
        <f ca="1">IF(ISERROR($V16),"",OFFSET('Smelter Look-up'!$C$4,$V16-4,0)&amp;"")</f>
        <v>PT Timah Tbk Kundur</v>
      </c>
      <c r="S16" s="165" t="str">
        <f t="shared" ca="1" si="2"/>
        <v>ID</v>
      </c>
      <c r="T16" s="165" t="str">
        <f ca="1">IF(B16="","",IF(ISERROR(MATCH($J16,SorP!$B$1:$B$6261,0)),"",INDIRECT("'SorP'!$A$"&amp;MATCH($S16&amp;$J16,SorP!C:C,0))))</f>
        <v>ID-RI</v>
      </c>
      <c r="U16" s="185"/>
      <c r="V16" s="209">
        <f ca="1">IF(C16="",NA(),IF(OR(C16="Smelter not listed",C16="Smelter not yet identified"),MATCH($B16&amp;$D16,'Smelter Look-up'!$J:$J,0),MATCH($B16&amp;$C16,'Smelter Look-up'!$J:$J,0)))</f>
        <v>531</v>
      </c>
      <c r="X16" s="210">
        <f t="shared" ca="1" si="3"/>
        <v>0</v>
      </c>
      <c r="AB16" s="211" t="str">
        <f t="shared" ca="1" si="4"/>
        <v>TinPT Timah Tbk Kundur</v>
      </c>
    </row>
    <row r="17" spans="1:28" s="210" customFormat="1" ht="20.100000000000001" customHeight="1">
      <c r="A17" s="245" t="s">
        <v>750</v>
      </c>
      <c r="B17" s="166" t="str">
        <f ca="1">IF(LEN(A17)=0,"",INDEX('Smelter Look-up'!$A:$A,MATCH($A17,'Smelter Look-up'!$E:$E,0)))</f>
        <v>Tin</v>
      </c>
      <c r="C17" s="170" t="str">
        <f ca="1">IF(LEN(A17)=0,"",INDEX('Smelter Look-up'!$C:$C,MATCH($A17,'Smelter Look-up'!$E:$E,0)))</f>
        <v>PT Timah Tbk Mentok</v>
      </c>
      <c r="D17" s="213"/>
      <c r="E17" s="166" t="str">
        <f ca="1">IF(ISERROR($V17),"",OFFSET('Smelter Look-up'!$D$4,$V17-4,0)&amp;"")</f>
        <v>INDONESIA</v>
      </c>
      <c r="F17" s="166" t="str">
        <f ca="1">IF(ISERROR($V17),"",OFFSET('Smelter Look-up'!$E$4,$V17-4,0))</f>
        <v>CID001482</v>
      </c>
      <c r="G17" s="166" t="str">
        <f ca="1">IF(C17=$X$4,IF(ISERROR($V17),"Enter smelter details","RMI"),IF(ISERROR($V17),"",OFFSET('Smelter Look-up'!$F$4,$V17-4,0)))</f>
        <v>RMI</v>
      </c>
      <c r="H17" s="167">
        <f ca="1">IF(ISERROR($V17),"",OFFSET('Smelter Look-up'!$G$4,$V17-4,0))</f>
        <v>0</v>
      </c>
      <c r="I17" s="168" t="str">
        <f ca="1">IF(ISERROR($V17),"",OFFSET('Smelter Look-up'!$H$4,$V17-4,0))</f>
        <v>Mentok</v>
      </c>
      <c r="J17" s="168" t="str">
        <f ca="1">IF(ISERROR($V17),"",OFFSET('Smelter Look-up'!$I$4,$V17-4,0))</f>
        <v>Kepulauan Bangka Belitung</v>
      </c>
      <c r="K17" s="207"/>
      <c r="L17" s="207"/>
      <c r="M17" s="207"/>
      <c r="N17" s="207"/>
      <c r="O17" s="207"/>
      <c r="P17" s="169"/>
      <c r="Q17" s="208"/>
      <c r="R17" s="166" t="str">
        <f ca="1">IF(ISERROR($V17),"",OFFSET('Smelter Look-up'!$C$4,$V17-4,0)&amp;"")</f>
        <v>PT Timah Tbk Mentok</v>
      </c>
      <c r="S17" s="165" t="str">
        <f t="shared" ca="1" si="2"/>
        <v>ID</v>
      </c>
      <c r="T17" s="165" t="str">
        <f ca="1">IF(B17="","",IF(ISERROR(MATCH($J17,SorP!$B$1:$B$6261,0)),"",INDIRECT("'SorP'!$A$"&amp;MATCH($S17&amp;$J17,SorP!C:C,0))))</f>
        <v>ID-BB</v>
      </c>
      <c r="U17" s="185"/>
      <c r="V17" s="209">
        <f ca="1">IF(C17="",NA(),IF(OR(C17="Smelter not listed",C17="Smelter not yet identified"),MATCH($B17&amp;$D17,'Smelter Look-up'!$J:$J,0),MATCH($B17&amp;$C17,'Smelter Look-up'!$J:$J,0)))</f>
        <v>532</v>
      </c>
      <c r="X17" s="210">
        <f t="shared" ca="1" si="3"/>
        <v>0</v>
      </c>
      <c r="AB17" s="211" t="str">
        <f t="shared" ca="1" si="4"/>
        <v>TinPT Timah Tbk Mentok</v>
      </c>
    </row>
    <row r="18" spans="1:28" s="210" customFormat="1" ht="20.100000000000001" customHeight="1">
      <c r="A18" s="165" t="s">
        <v>2175</v>
      </c>
      <c r="B18" s="166" t="str">
        <f ca="1">IF(LEN(A18)=0,"",INDEX('Smelter Look-up'!$A:$A,MATCH($A18,'Smelter Look-up'!$E:$E,0)))</f>
        <v>Tin</v>
      </c>
      <c r="C18" s="170" t="str">
        <f ca="1">IF(LEN(A18)=0,"",INDEX('Smelter Look-up'!$C:$C,MATCH($A18,'Smelter Look-up'!$E:$E,0)))</f>
        <v>Chenzhou Yunxiang Mining and Metallurgy Co., Ltd.</v>
      </c>
      <c r="D18" s="213"/>
      <c r="E18" s="166" t="str">
        <f ca="1">IF(ISERROR($V18),"",OFFSET('Smelter Look-up'!$D$4,$V18-4,0)&amp;"")</f>
        <v>CHINA</v>
      </c>
      <c r="F18" s="166" t="str">
        <f ca="1">IF(ISERROR($V18),"",OFFSET('Smelter Look-up'!$E$4,$V18-4,0))</f>
        <v>CID000228</v>
      </c>
      <c r="G18" s="166" t="str">
        <f ca="1">IF(C18=$X$4,IF(ISERROR($V18),"Enter smelter details","RMI"),IF(ISERROR($V18),"",OFFSET('Smelter Look-up'!$F$4,$V18-4,0)))</f>
        <v>RMI</v>
      </c>
      <c r="H18" s="167">
        <f ca="1">IF(ISERROR($V18),"",OFFSET('Smelter Look-up'!$G$4,$V18-4,0))</f>
        <v>0</v>
      </c>
      <c r="I18" s="168" t="str">
        <f ca="1">IF(ISERROR($V18),"",OFFSET('Smelter Look-up'!$H$4,$V18-4,0))</f>
        <v>Chenzhou</v>
      </c>
      <c r="J18" s="168" t="str">
        <f ca="1">IF(ISERROR($V18),"",OFFSET('Smelter Look-up'!$I$4,$V18-4,0))</f>
        <v>Hunan Sheng</v>
      </c>
      <c r="K18" s="207"/>
      <c r="L18" s="207"/>
      <c r="M18" s="207"/>
      <c r="N18" s="207"/>
      <c r="O18" s="207"/>
      <c r="P18" s="169"/>
      <c r="Q18" s="208"/>
      <c r="R18" s="166" t="str">
        <f ca="1">IF(ISERROR($V18),"",OFFSET('Smelter Look-up'!$C$4,$V18-4,0)&amp;"")</f>
        <v>Chenzhou Yunxiang Mining and Metallurgy Co., Ltd.</v>
      </c>
      <c r="S18" s="165" t="str">
        <f t="shared" ca="1" si="2"/>
        <v>CN</v>
      </c>
      <c r="T18" s="165" t="str">
        <f ca="1">IF(B18="","",IF(ISERROR(MATCH($J18,SorP!$B$1:$B$6261,0)),"",INDIRECT("'SorP'!$A$"&amp;MATCH($S18&amp;$J18,SorP!C:C,0))))</f>
        <v>CN-HN</v>
      </c>
      <c r="U18" s="185"/>
      <c r="V18" s="209">
        <f ca="1">IF(C18="",NA(),IF(OR(C18="Smelter not listed",C18="Smelter not yet identified"),MATCH($B18&amp;$D18,'Smelter Look-up'!$J:$J,0),MATCH($B18&amp;$C18,'Smelter Look-up'!$J:$J,0)))</f>
        <v>428</v>
      </c>
      <c r="X18" s="210">
        <f t="shared" ca="1" si="3"/>
        <v>0</v>
      </c>
      <c r="AB18" s="211" t="str">
        <f t="shared" ca="1" si="4"/>
        <v>TinChenzhou Yunxiang Mining and Metallurgy Co., Ltd.</v>
      </c>
    </row>
    <row r="19" spans="1:28" s="210" customFormat="1" ht="20.25">
      <c r="A19" s="165" t="s">
        <v>1362</v>
      </c>
      <c r="B19" s="166" t="str">
        <f ca="1">IF(LEN(A19)=0,"",INDEX('Smelter Look-up'!$A:$A,MATCH($A19,'Smelter Look-up'!$E:$E,0)))</f>
        <v>Tin</v>
      </c>
      <c r="C19" s="170" t="str">
        <f ca="1">IF(LEN(A19)=0,"",INDEX('Smelter Look-up'!$C:$C,MATCH($A19,'Smelter Look-up'!$E:$E,0)))</f>
        <v>Dowa</v>
      </c>
      <c r="D19" s="213"/>
      <c r="E19" s="166" t="str">
        <f ca="1">IF(ISERROR($V19),"",OFFSET('Smelter Look-up'!$D$4,$V19-4,0)&amp;"")</f>
        <v>JAPAN</v>
      </c>
      <c r="F19" s="166" t="str">
        <f ca="1">IF(ISERROR($V19),"",OFFSET('Smelter Look-up'!$E$4,$V19-4,0))</f>
        <v>CID000402</v>
      </c>
      <c r="G19" s="166" t="str">
        <f ca="1">IF(C19=$X$4,IF(ISERROR($V19),"Enter smelter details","RMI"),IF(ISERROR($V19),"",OFFSET('Smelter Look-up'!$F$4,$V19-4,0)))</f>
        <v>RMI</v>
      </c>
      <c r="H19" s="167">
        <f ca="1">IF(ISERROR($V19),"",OFFSET('Smelter Look-up'!$G$4,$V19-4,0))</f>
        <v>0</v>
      </c>
      <c r="I19" s="168" t="str">
        <f ca="1">IF(ISERROR($V19),"",OFFSET('Smelter Look-up'!$H$4,$V19-4,0))</f>
        <v>Kosaka</v>
      </c>
      <c r="J19" s="168" t="str">
        <f ca="1">IF(ISERROR($V19),"",OFFSET('Smelter Look-up'!$I$4,$V19-4,0))</f>
        <v>Akita</v>
      </c>
      <c r="K19" s="207"/>
      <c r="L19" s="207"/>
      <c r="M19" s="207"/>
      <c r="N19" s="207"/>
      <c r="O19" s="207"/>
      <c r="P19" s="169"/>
      <c r="Q19" s="208"/>
      <c r="R19" s="166" t="str">
        <f ca="1">IF(ISERROR($V19),"",OFFSET('Smelter Look-up'!$C$4,$V19-4,0)&amp;"")</f>
        <v>Dowa</v>
      </c>
      <c r="S19" s="165" t="str">
        <f t="shared" ca="1" si="2"/>
        <v>JP</v>
      </c>
      <c r="T19" s="165" t="str">
        <f ca="1">IF(B19="","",IF(ISERROR(MATCH($J19,SorP!$B$1:$B$6261,0)),"",INDIRECT("'SorP'!$A$"&amp;MATCH($S19&amp;$J19,SorP!C:C,0))))</f>
        <v>JP-05</v>
      </c>
      <c r="U19" s="185"/>
      <c r="V19" s="209">
        <f ca="1">IF(C19="",NA(),IF(OR(C19="Smelter not listed",C19="Smelter not yet identified"),MATCH($B19&amp;$D19,'Smelter Look-up'!$J:$J,0),MATCH($B19&amp;$C19,'Smelter Look-up'!$J:$J,0)))</f>
        <v>450</v>
      </c>
      <c r="X19" s="210">
        <f t="shared" ca="1" si="3"/>
        <v>0</v>
      </c>
      <c r="AB19" s="211" t="str">
        <f t="shared" ca="1" si="4"/>
        <v>TinDowa</v>
      </c>
    </row>
    <row r="20" spans="1:28" s="210" customFormat="1" ht="38.25">
      <c r="A20" s="165" t="s">
        <v>736</v>
      </c>
      <c r="B20" s="166" t="str">
        <f ca="1">IF(LEN(A20)=0,"",INDEX('Smelter Look-up'!$A:$A,MATCH($A20,'Smelter Look-up'!$E:$E,0)))</f>
        <v>Tin</v>
      </c>
      <c r="C20" s="170" t="str">
        <f ca="1">IF(LEN(A20)=0,"",INDEX('Smelter Look-up'!$C:$C,MATCH($A20,'Smelter Look-up'!$E:$E,0)))</f>
        <v>EM Vinto</v>
      </c>
      <c r="D20" s="213"/>
      <c r="E20" s="166" t="str">
        <f ca="1">IF(ISERROR($V20),"",OFFSET('Smelter Look-up'!$D$4,$V20-4,0)&amp;"")</f>
        <v>BOLIVIA (PLURINATIONAL STATE OF)</v>
      </c>
      <c r="F20" s="166" t="str">
        <f ca="1">IF(ISERROR($V20),"",OFFSET('Smelter Look-up'!$E$4,$V20-4,0))</f>
        <v>CID000438</v>
      </c>
      <c r="G20" s="166" t="str">
        <f ca="1">IF(C20=$X$4,IF(ISERROR($V20),"Enter smelter details","RMI"),IF(ISERROR($V20),"",OFFSET('Smelter Look-up'!$F$4,$V20-4,0)))</f>
        <v>RMI</v>
      </c>
      <c r="H20" s="167">
        <f ca="1">IF(ISERROR($V20),"",OFFSET('Smelter Look-up'!$G$4,$V20-4,0))</f>
        <v>0</v>
      </c>
      <c r="I20" s="168" t="str">
        <f ca="1">IF(ISERROR($V20),"",OFFSET('Smelter Look-up'!$H$4,$V20-4,0))</f>
        <v>Oruro</v>
      </c>
      <c r="J20" s="168" t="str">
        <f ca="1">IF(ISERROR($V20),"",OFFSET('Smelter Look-up'!$I$4,$V20-4,0))</f>
        <v>Oruro</v>
      </c>
      <c r="K20" s="207"/>
      <c r="L20" s="207"/>
      <c r="M20" s="207"/>
      <c r="N20" s="207"/>
      <c r="O20" s="207"/>
      <c r="P20" s="169"/>
      <c r="Q20" s="208"/>
      <c r="R20" s="166" t="str">
        <f ca="1">IF(ISERROR($V20),"",OFFSET('Smelter Look-up'!$C$4,$V20-4,0)&amp;"")</f>
        <v>EM Vinto</v>
      </c>
      <c r="S20" s="165" t="str">
        <f t="shared" ca="1" si="2"/>
        <v>Unknown</v>
      </c>
      <c r="T20" s="165" t="e">
        <f ca="1">IF(B20="","",IF(ISERROR(MATCH($J20,SorP!$B$1:$B$6261,0)),"",INDIRECT("'SorP'!$A$"&amp;MATCH($S20&amp;$J20,SorP!C:C,0))))</f>
        <v>#N/A</v>
      </c>
      <c r="U20" s="185"/>
      <c r="V20" s="209">
        <f ca="1">IF(C20="",NA(),IF(OR(C20="Smelter not listed",C20="Smelter not yet identified"),MATCH($B20&amp;$D20,'Smelter Look-up'!$J:$J,0),MATCH($B20&amp;$C20,'Smelter Look-up'!$J:$J,0)))</f>
        <v>453</v>
      </c>
      <c r="X20" s="210">
        <f t="shared" ca="1" si="3"/>
        <v>0</v>
      </c>
      <c r="AB20" s="211" t="str">
        <f t="shared" ca="1" si="4"/>
        <v>TinEM Vinto</v>
      </c>
    </row>
    <row r="21" spans="1:28" s="210" customFormat="1" ht="20.25">
      <c r="A21" s="165" t="s">
        <v>743</v>
      </c>
      <c r="B21" s="166" t="str">
        <f ca="1">IF(LEN(A21)=0,"",INDEX('Smelter Look-up'!$A:$A,MATCH($A21,'Smelter Look-up'!$E:$E,0)))</f>
        <v>Tin</v>
      </c>
      <c r="C21" s="170" t="str">
        <f ca="1">IF(LEN(A21)=0,"",INDEX('Smelter Look-up'!$C:$C,MATCH($A21,'Smelter Look-up'!$E:$E,0)))</f>
        <v>Mineracao Taboca S.A.</v>
      </c>
      <c r="D21" s="213"/>
      <c r="E21" s="166" t="str">
        <f ca="1">IF(ISERROR($V21),"",OFFSET('Smelter Look-up'!$D$4,$V21-4,0)&amp;"")</f>
        <v>BRAZIL</v>
      </c>
      <c r="F21" s="166" t="str">
        <f ca="1">IF(ISERROR($V21),"",OFFSET('Smelter Look-up'!$E$4,$V21-4,0))</f>
        <v>CID001173</v>
      </c>
      <c r="G21" s="166" t="str">
        <f ca="1">IF(C21=$X$4,IF(ISERROR($V21),"Enter smelter details","RMI"),IF(ISERROR($V21),"",OFFSET('Smelter Look-up'!$F$4,$V21-4,0)))</f>
        <v>RMI</v>
      </c>
      <c r="H21" s="167">
        <f ca="1">IF(ISERROR($V21),"",OFFSET('Smelter Look-up'!$G$4,$V21-4,0))</f>
        <v>0</v>
      </c>
      <c r="I21" s="168" t="str">
        <f ca="1">IF(ISERROR($V21),"",OFFSET('Smelter Look-up'!$H$4,$V21-4,0))</f>
        <v>Pirapora de Bom Jesus</v>
      </c>
      <c r="J21" s="168" t="str">
        <f ca="1">IF(ISERROR($V21),"",OFFSET('Smelter Look-up'!$I$4,$V21-4,0))</f>
        <v>São Paulo</v>
      </c>
      <c r="K21" s="207"/>
      <c r="L21" s="207"/>
      <c r="M21" s="207"/>
      <c r="N21" s="207"/>
      <c r="O21" s="207"/>
      <c r="P21" s="169"/>
      <c r="Q21" s="208"/>
      <c r="R21" s="166" t="str">
        <f ca="1">IF(ISERROR($V21),"",OFFSET('Smelter Look-up'!$C$4,$V21-4,0)&amp;"")</f>
        <v>Mineracao Taboca S.A.</v>
      </c>
      <c r="S21" s="165" t="str">
        <f t="shared" ca="1" si="2"/>
        <v>BR</v>
      </c>
      <c r="T21" s="165" t="str">
        <f ca="1">IF(B21="","",IF(ISERROR(MATCH($J21,SorP!$B$1:$B$6261,0)),"",INDIRECT("'SorP'!$A$"&amp;MATCH($S21&amp;$J21,SorP!C:C,0))))</f>
        <v>BR-SP</v>
      </c>
      <c r="U21" s="185"/>
      <c r="V21" s="209">
        <f ca="1">IF(C21="",NA(),IF(OR(C21="Smelter not listed",C21="Smelter not yet identified"),MATCH($B21&amp;$D21,'Smelter Look-up'!$J:$J,0),MATCH($B21&amp;$C21,'Smelter Look-up'!$J:$J,0)))</f>
        <v>498</v>
      </c>
      <c r="X21" s="210">
        <f t="shared" ca="1" si="3"/>
        <v>0</v>
      </c>
      <c r="AB21" s="211" t="str">
        <f t="shared" ca="1" si="4"/>
        <v>TinMineracao Taboca S.A.</v>
      </c>
    </row>
    <row r="22" spans="1:28" s="210" customFormat="1" ht="51">
      <c r="A22" s="165" t="s">
        <v>744</v>
      </c>
      <c r="B22" s="166" t="str">
        <f ca="1">IF(LEN(A22)=0,"",INDEX('Smelter Look-up'!$A:$A,MATCH($A22,'Smelter Look-up'!$E:$E,0)))</f>
        <v>Tin</v>
      </c>
      <c r="C22" s="170" t="str">
        <f ca="1">IF(LEN(A22)=0,"",INDEX('Smelter Look-up'!$C:$C,MATCH($A22,'Smelter Look-up'!$E:$E,0)))</f>
        <v>Minsur</v>
      </c>
      <c r="D22" s="213"/>
      <c r="E22" s="166" t="str">
        <f ca="1">IF(ISERROR($V22),"",OFFSET('Smelter Look-up'!$D$4,$V22-4,0)&amp;"")</f>
        <v>PERU</v>
      </c>
      <c r="F22" s="166" t="str">
        <f ca="1">IF(ISERROR($V22),"",OFFSET('Smelter Look-up'!$E$4,$V22-4,0))</f>
        <v>CID001182</v>
      </c>
      <c r="G22" s="166" t="str">
        <f ca="1">IF(C22=$X$4,IF(ISERROR($V22),"Enter smelter details","RMI"),IF(ISERROR($V22),"",OFFSET('Smelter Look-up'!$F$4,$V22-4,0)))</f>
        <v>RMI</v>
      </c>
      <c r="H22" s="167">
        <f ca="1">IF(ISERROR($V22),"",OFFSET('Smelter Look-up'!$G$4,$V22-4,0))</f>
        <v>0</v>
      </c>
      <c r="I22" s="168" t="str">
        <f ca="1">IF(ISERROR($V22),"",OFFSET('Smelter Look-up'!$H$4,$V22-4,0))</f>
        <v>Paracas</v>
      </c>
      <c r="J22" s="168" t="str">
        <f ca="1">IF(ISERROR($V22),"",OFFSET('Smelter Look-up'!$I$4,$V22-4,0))</f>
        <v>Ika</v>
      </c>
      <c r="K22" s="207"/>
      <c r="L22" s="207"/>
      <c r="M22" s="207"/>
      <c r="N22" s="207"/>
      <c r="O22" s="207"/>
      <c r="P22" s="169"/>
      <c r="Q22" s="208"/>
      <c r="R22" s="166" t="str">
        <f ca="1">IF(ISERROR($V22),"",OFFSET('Smelter Look-up'!$C$4,$V22-4,0)&amp;"")</f>
        <v>Minsur</v>
      </c>
      <c r="S22" s="165" t="str">
        <f t="shared" ca="1" si="2"/>
        <v>PE</v>
      </c>
      <c r="T22" s="165" t="str">
        <f ca="1">IF(B22="","",IF(ISERROR(MATCH($J22,SorP!$B$1:$B$6261,0)),"",INDIRECT("'SorP'!$A$"&amp;MATCH($S22&amp;$J22,SorP!C:C,0))))</f>
        <v>PE-ICA</v>
      </c>
      <c r="U22" s="185"/>
      <c r="V22" s="209">
        <f ca="1">IF(C22="",NA(),IF(OR(C22="Smelter not listed",C22="Smelter not yet identified"),MATCH($B22&amp;$D22,'Smelter Look-up'!$J:$J,0),MATCH($B22&amp;$C22,'Smelter Look-up'!$J:$J,0)))</f>
        <v>503</v>
      </c>
      <c r="X22" s="210">
        <f t="shared" ca="1" si="3"/>
        <v>0</v>
      </c>
      <c r="AB22" s="211" t="str">
        <f t="shared" ca="1" si="4"/>
        <v>TinMinsur</v>
      </c>
    </row>
    <row r="23" spans="1:28" s="210" customFormat="1" ht="25.5">
      <c r="A23" s="165" t="s">
        <v>745</v>
      </c>
      <c r="B23" s="166" t="str">
        <f ca="1">IF(LEN(A23)=0,"",INDEX('Smelter Look-up'!$A:$A,MATCH($A23,'Smelter Look-up'!$E:$E,0)))</f>
        <v>Tin</v>
      </c>
      <c r="C23" s="170" t="str">
        <f ca="1">IF(LEN(A23)=0,"",INDEX('Smelter Look-up'!$C:$C,MATCH($A23,'Smelter Look-up'!$E:$E,0)))</f>
        <v>Mitsubishi Materials Corporation</v>
      </c>
      <c r="D23" s="213"/>
      <c r="E23" s="166" t="str">
        <f ca="1">IF(ISERROR($V23),"",OFFSET('Smelter Look-up'!$D$4,$V23-4,0)&amp;"")</f>
        <v>JAPAN</v>
      </c>
      <c r="F23" s="166" t="str">
        <f ca="1">IF(ISERROR($V23),"",OFFSET('Smelter Look-up'!$E$4,$V23-4,0))</f>
        <v>CID001191</v>
      </c>
      <c r="G23" s="166" t="str">
        <f ca="1">IF(C23=$X$4,IF(ISERROR($V23),"Enter smelter details","RMI"),IF(ISERROR($V23),"",OFFSET('Smelter Look-up'!$F$4,$V23-4,0)))</f>
        <v>RMI</v>
      </c>
      <c r="H23" s="167">
        <f ca="1">IF(ISERROR($V23),"",OFFSET('Smelter Look-up'!$G$4,$V23-4,0))</f>
        <v>0</v>
      </c>
      <c r="I23" s="168" t="str">
        <f ca="1">IF(ISERROR($V23),"",OFFSET('Smelter Look-up'!$H$4,$V23-4,0))</f>
        <v>Asago</v>
      </c>
      <c r="J23" s="168" t="str">
        <f ca="1">IF(ISERROR($V23),"",OFFSET('Smelter Look-up'!$I$4,$V23-4,0))</f>
        <v>Hyôgo</v>
      </c>
      <c r="K23" s="207"/>
      <c r="L23" s="207"/>
      <c r="M23" s="207"/>
      <c r="N23" s="207"/>
      <c r="O23" s="207"/>
      <c r="P23" s="169"/>
      <c r="Q23" s="208"/>
      <c r="R23" s="166" t="str">
        <f ca="1">IF(ISERROR($V23),"",OFFSET('Smelter Look-up'!$C$4,$V23-4,0)&amp;"")</f>
        <v>Mitsubishi Materials Corporation</v>
      </c>
      <c r="S23" s="165" t="str">
        <f t="shared" ca="1" si="2"/>
        <v>JP</v>
      </c>
      <c r="T23" s="165" t="str">
        <f ca="1">IF(B23="","",IF(ISERROR(MATCH($J23,SorP!$B$1:$B$6261,0)),"",INDIRECT("'SorP'!$A$"&amp;MATCH($S23&amp;$J23,SorP!C:C,0))))</f>
        <v>JP-28</v>
      </c>
      <c r="U23" s="185"/>
      <c r="V23" s="209">
        <f ca="1">IF(C23="",NA(),IF(OR(C23="Smelter not listed",C23="Smelter not yet identified"),MATCH($B23&amp;$D23,'Smelter Look-up'!$J:$J,0),MATCH($B23&amp;$C23,'Smelter Look-up'!$J:$J,0)))</f>
        <v>504</v>
      </c>
      <c r="X23" s="210">
        <f t="shared" ca="1" si="3"/>
        <v>0</v>
      </c>
      <c r="AB23" s="211" t="str">
        <f t="shared" ca="1" si="4"/>
        <v>TinMitsubishi Materials Corporation</v>
      </c>
    </row>
    <row r="24" spans="1:28" s="210" customFormat="1" ht="76.5">
      <c r="A24" s="165" t="s">
        <v>748</v>
      </c>
      <c r="B24" s="166" t="str">
        <f ca="1">IF(LEN(A24)=0,"",INDEX('Smelter Look-up'!$A:$A,MATCH($A24,'Smelter Look-up'!$E:$E,0)))</f>
        <v>Tin</v>
      </c>
      <c r="C24" s="170" t="str">
        <f ca="1">IF(LEN(A24)=0,"",INDEX('Smelter Look-up'!$C:$C,MATCH($A24,'Smelter Look-up'!$E:$E,0)))</f>
        <v>Operaciones Metalurgicas S.A.</v>
      </c>
      <c r="D24" s="213"/>
      <c r="E24" s="166" t="str">
        <f ca="1">IF(ISERROR($V24),"",OFFSET('Smelter Look-up'!$D$4,$V24-4,0)&amp;"")</f>
        <v>BOLIVIA (PLURINATIONAL STATE OF)</v>
      </c>
      <c r="F24" s="166" t="str">
        <f ca="1">IF(ISERROR($V24),"",OFFSET('Smelter Look-up'!$E$4,$V24-4,0))</f>
        <v>CID001337</v>
      </c>
      <c r="G24" s="166" t="str">
        <f ca="1">IF(C24=$X$4,IF(ISERROR($V24),"Enter smelter details","RMI"),IF(ISERROR($V24),"",OFFSET('Smelter Look-up'!$F$4,$V24-4,0)))</f>
        <v>RMI</v>
      </c>
      <c r="H24" s="167">
        <f ca="1">IF(ISERROR($V24),"",OFFSET('Smelter Look-up'!$G$4,$V24-4,0))</f>
        <v>0</v>
      </c>
      <c r="I24" s="168" t="str">
        <f ca="1">IF(ISERROR($V24),"",OFFSET('Smelter Look-up'!$H$4,$V24-4,0))</f>
        <v>Oruro</v>
      </c>
      <c r="J24" s="168" t="str">
        <f ca="1">IF(ISERROR($V24),"",OFFSET('Smelter Look-up'!$I$4,$V24-4,0))</f>
        <v>Oruro</v>
      </c>
      <c r="K24" s="207"/>
      <c r="L24" s="207"/>
      <c r="M24" s="207"/>
      <c r="N24" s="207"/>
      <c r="O24" s="207"/>
      <c r="P24" s="169"/>
      <c r="Q24" s="208"/>
      <c r="R24" s="166" t="str">
        <f ca="1">IF(ISERROR($V24),"",OFFSET('Smelter Look-up'!$C$4,$V24-4,0)&amp;"")</f>
        <v>Operaciones Metalurgicas S.A.</v>
      </c>
      <c r="S24" s="165" t="str">
        <f t="shared" ca="1" si="2"/>
        <v>Unknown</v>
      </c>
      <c r="T24" s="165" t="e">
        <f ca="1">IF(B24="","",IF(ISERROR(MATCH($J24,SorP!$B$1:$B$6261,0)),"",INDIRECT("'SorP'!$A$"&amp;MATCH($S24&amp;$J24,SorP!C:C,0))))</f>
        <v>#N/A</v>
      </c>
      <c r="U24" s="185"/>
      <c r="V24" s="209">
        <f ca="1">IF(C24="",NA(),IF(OR(C24="Smelter not listed",C24="Smelter not yet identified"),MATCH($B24&amp;$D24,'Smelter Look-up'!$J:$J,0),MATCH($B24&amp;$C24,'Smelter Look-up'!$J:$J,0)))</f>
        <v>514</v>
      </c>
      <c r="X24" s="210">
        <f t="shared" ca="1" si="3"/>
        <v>0</v>
      </c>
      <c r="AB24" s="211" t="str">
        <f t="shared" ca="1" si="4"/>
        <v>TinOperaciones Metalurgicas S.A.</v>
      </c>
    </row>
    <row r="25" spans="1:28" s="210" customFormat="1" ht="63.75">
      <c r="A25" s="165" t="s">
        <v>749</v>
      </c>
      <c r="B25" s="166" t="str">
        <f ca="1">IF(LEN(A25)=0,"",INDEX('Smelter Look-up'!$A:$A,MATCH($A25,'Smelter Look-up'!$E:$E,0)))</f>
        <v>Tin</v>
      </c>
      <c r="C25" s="170" t="str">
        <f ca="1">IF(LEN(A25)=0,"",INDEX('Smelter Look-up'!$C:$C,MATCH($A25,'Smelter Look-up'!$E:$E,0)))</f>
        <v>PT Mitra Stania Prima</v>
      </c>
      <c r="D25" s="213"/>
      <c r="E25" s="166" t="str">
        <f ca="1">IF(ISERROR($V25),"",OFFSET('Smelter Look-up'!$D$4,$V25-4,0)&amp;"")</f>
        <v>INDONESIA</v>
      </c>
      <c r="F25" s="166" t="str">
        <f ca="1">IF(ISERROR($V25),"",OFFSET('Smelter Look-up'!$E$4,$V25-4,0))</f>
        <v>CID001453</v>
      </c>
      <c r="G25" s="166" t="str">
        <f ca="1">IF(C25=$X$4,IF(ISERROR($V25),"Enter smelter details","RMI"),IF(ISERROR($V25),"",OFFSET('Smelter Look-up'!$F$4,$V25-4,0)))</f>
        <v>RMI</v>
      </c>
      <c r="H25" s="167">
        <f ca="1">IF(ISERROR($V25),"",OFFSET('Smelter Look-up'!$G$4,$V25-4,0))</f>
        <v>0</v>
      </c>
      <c r="I25" s="168" t="str">
        <f ca="1">IF(ISERROR($V25),"",OFFSET('Smelter Look-up'!$H$4,$V25-4,0))</f>
        <v>Sungailiat</v>
      </c>
      <c r="J25" s="168" t="str">
        <f ca="1">IF(ISERROR($V25),"",OFFSET('Smelter Look-up'!$I$4,$V25-4,0))</f>
        <v>Kepulauan Bangka Belitung</v>
      </c>
      <c r="K25" s="207"/>
      <c r="L25" s="207"/>
      <c r="M25" s="207"/>
      <c r="N25" s="207"/>
      <c r="O25" s="207"/>
      <c r="P25" s="169"/>
      <c r="Q25" s="208"/>
      <c r="R25" s="166" t="str">
        <f ca="1">IF(ISERROR($V25),"",OFFSET('Smelter Look-up'!$C$4,$V25-4,0)&amp;"")</f>
        <v>PT Mitra Stania Prima</v>
      </c>
      <c r="S25" s="165" t="str">
        <f t="shared" ca="1" si="2"/>
        <v>ID</v>
      </c>
      <c r="T25" s="165" t="str">
        <f ca="1">IF(B25="","",IF(ISERROR(MATCH($J25,SorP!$B$1:$B$6261,0)),"",INDIRECT("'SorP'!$A$"&amp;MATCH($S25&amp;$J25,SorP!C:C,0))))</f>
        <v>ID-BB</v>
      </c>
      <c r="U25" s="185"/>
      <c r="V25" s="209">
        <f ca="1">IF(C25="",NA(),IF(OR(C25="Smelter not listed",C25="Smelter not yet identified"),MATCH($B25&amp;$D25,'Smelter Look-up'!$J:$J,0),MATCH($B25&amp;$C25,'Smelter Look-up'!$J:$J,0)))</f>
        <v>524</v>
      </c>
      <c r="X25" s="210">
        <f t="shared" ca="1" si="3"/>
        <v>0</v>
      </c>
      <c r="AB25" s="211" t="str">
        <f t="shared" ca="1" si="4"/>
        <v>TinPT Mitra Stania Prima</v>
      </c>
    </row>
    <row r="26" spans="1:28" s="210" customFormat="1" ht="51">
      <c r="A26" s="165" t="s">
        <v>15253</v>
      </c>
      <c r="B26" s="166" t="str">
        <f ca="1">IF(LEN(A26)=0,"",INDEX('Smelter Look-up'!$A:$A,MATCH($A26,'Smelter Look-up'!$E:$E,0)))</f>
        <v>Tin</v>
      </c>
      <c r="C26" s="170" t="str">
        <f ca="1">IF(LEN(A26)=0,"",INDEX('Smelter Look-up'!$C:$C,MATCH($A26,'Smelter Look-up'!$E:$E,0)))</f>
        <v>PT Prima Timah Utama</v>
      </c>
      <c r="D26" s="213"/>
      <c r="E26" s="166" t="str">
        <f ca="1">IF(ISERROR($V26),"",OFFSET('Smelter Look-up'!$D$4,$V26-4,0)&amp;"")</f>
        <v>INDONESIA</v>
      </c>
      <c r="F26" s="166" t="str">
        <f ca="1">IF(ISERROR($V26),"",OFFSET('Smelter Look-up'!$E$4,$V26-4,0))</f>
        <v>CID001458</v>
      </c>
      <c r="G26" s="166" t="str">
        <f ca="1">IF(C26=$X$4,IF(ISERROR($V26),"Enter smelter details","RMI"),IF(ISERROR($V26),"",OFFSET('Smelter Look-up'!$F$4,$V26-4,0)))</f>
        <v>RMI</v>
      </c>
      <c r="H26" s="167">
        <f ca="1">IF(ISERROR($V26),"",OFFSET('Smelter Look-up'!$G$4,$V26-4,0))</f>
        <v>0</v>
      </c>
      <c r="I26" s="168" t="str">
        <f ca="1">IF(ISERROR($V26),"",OFFSET('Smelter Look-up'!$H$4,$V26-4,0))</f>
        <v>Pangkal Pinang</v>
      </c>
      <c r="J26" s="168" t="str">
        <f ca="1">IF(ISERROR($V26),"",OFFSET('Smelter Look-up'!$I$4,$V26-4,0))</f>
        <v>Kepulauan Bangka Belitung</v>
      </c>
      <c r="K26" s="207"/>
      <c r="L26" s="207"/>
      <c r="M26" s="207"/>
      <c r="N26" s="207"/>
      <c r="O26" s="207"/>
      <c r="P26" s="169"/>
      <c r="Q26" s="208"/>
      <c r="R26" s="166" t="str">
        <f ca="1">IF(ISERROR($V26),"",OFFSET('Smelter Look-up'!$C$4,$V26-4,0)&amp;"")</f>
        <v>PT Prima Timah Utama</v>
      </c>
      <c r="S26" s="165" t="str">
        <f t="shared" ca="1" si="2"/>
        <v>ID</v>
      </c>
      <c r="T26" s="165" t="str">
        <f ca="1">IF(B26="","",IF(ISERROR(MATCH($J26,SorP!$B$1:$B$6261,0)),"",INDIRECT("'SorP'!$A$"&amp;MATCH($S26&amp;$J26,SorP!C:C,0))))</f>
        <v>ID-BB</v>
      </c>
      <c r="U26" s="185"/>
      <c r="V26" s="209">
        <f ca="1">IF(C26="",NA(),IF(OR(C26="Smelter not listed",C26="Smelter not yet identified"),MATCH($B26&amp;$D26,'Smelter Look-up'!$J:$J,0),MATCH($B26&amp;$C26,'Smelter Look-up'!$J:$J,0)))</f>
        <v>527</v>
      </c>
      <c r="X26" s="210">
        <f t="shared" ca="1" si="3"/>
        <v>0</v>
      </c>
      <c r="AB26" s="211" t="str">
        <f t="shared" ca="1" si="4"/>
        <v>TinPT Prima Timah Utama</v>
      </c>
    </row>
    <row r="27" spans="1:28" s="210" customFormat="1" ht="51">
      <c r="A27" s="165" t="s">
        <v>753</v>
      </c>
      <c r="B27" s="166" t="str">
        <f ca="1">IF(LEN(A27)=0,"",INDEX('Smelter Look-up'!$A:$A,MATCH($A27,'Smelter Look-up'!$E:$E,0)))</f>
        <v>Tin</v>
      </c>
      <c r="C27" s="170" t="str">
        <f ca="1">IF(LEN(A27)=0,"",INDEX('Smelter Look-up'!$C:$C,MATCH($A27,'Smelter Look-up'!$E:$E,0)))</f>
        <v>Thaisarco</v>
      </c>
      <c r="D27" s="213"/>
      <c r="E27" s="166" t="str">
        <f ca="1">IF(ISERROR($V27),"",OFFSET('Smelter Look-up'!$D$4,$V27-4,0)&amp;"")</f>
        <v>THAILAND</v>
      </c>
      <c r="F27" s="166" t="str">
        <f ca="1">IF(ISERROR($V27),"",OFFSET('Smelter Look-up'!$E$4,$V27-4,0))</f>
        <v>CID001898</v>
      </c>
      <c r="G27" s="166" t="str">
        <f ca="1">IF(C27=$X$4,IF(ISERROR($V27),"Enter smelter details","RMI"),IF(ISERROR($V27),"",OFFSET('Smelter Look-up'!$F$4,$V27-4,0)))</f>
        <v>RMI</v>
      </c>
      <c r="H27" s="167">
        <f ca="1">IF(ISERROR($V27),"",OFFSET('Smelter Look-up'!$G$4,$V27-4,0))</f>
        <v>0</v>
      </c>
      <c r="I27" s="168" t="str">
        <f ca="1">IF(ISERROR($V27),"",OFFSET('Smelter Look-up'!$H$4,$V27-4,0))</f>
        <v>Amphur Muang</v>
      </c>
      <c r="J27" s="168" t="str">
        <f ca="1">IF(ISERROR($V27),"",OFFSET('Smelter Look-up'!$I$4,$V27-4,0))</f>
        <v>Phuket</v>
      </c>
      <c r="K27" s="207"/>
      <c r="L27" s="207"/>
      <c r="M27" s="207"/>
      <c r="N27" s="207"/>
      <c r="O27" s="207"/>
      <c r="P27" s="169"/>
      <c r="Q27" s="208"/>
      <c r="R27" s="166" t="str">
        <f ca="1">IF(ISERROR($V27),"",OFFSET('Smelter Look-up'!$C$4,$V27-4,0)&amp;"")</f>
        <v>Thaisarco</v>
      </c>
      <c r="S27" s="165" t="str">
        <f t="shared" ca="1" si="2"/>
        <v>TH</v>
      </c>
      <c r="T27" s="165" t="str">
        <f ca="1">IF(B27="","",IF(ISERROR(MATCH($J27,SorP!$B$1:$B$6261,0)),"",INDIRECT("'SorP'!$A$"&amp;MATCH($S27&amp;$J27,SorP!C:C,0))))</f>
        <v>TH-83</v>
      </c>
      <c r="U27" s="185"/>
      <c r="V27" s="209">
        <f ca="1">IF(C27="",NA(),IF(OR(C27="Smelter not listed",C27="Smelter not yet identified"),MATCH($B27&amp;$D27,'Smelter Look-up'!$J:$J,0),MATCH($B27&amp;$C27,'Smelter Look-up'!$J:$J,0)))</f>
        <v>543</v>
      </c>
      <c r="X27" s="210">
        <f t="shared" ca="1" si="3"/>
        <v>0</v>
      </c>
      <c r="AB27" s="211" t="str">
        <f t="shared" ca="1" si="4"/>
        <v>TinThaisarco</v>
      </c>
    </row>
    <row r="28" spans="1:28" s="210" customFormat="1" ht="25.5">
      <c r="A28" s="165" t="s">
        <v>756</v>
      </c>
      <c r="B28" s="166" t="str">
        <f ca="1">IF(LEN(A28)=0,"",INDEX('Smelter Look-up'!$A:$A,MATCH($A28,'Smelter Look-up'!$E:$E,0)))</f>
        <v>Tin</v>
      </c>
      <c r="C28" s="170" t="str">
        <f ca="1">IF(LEN(A28)=0,"",INDEX('Smelter Look-up'!$C:$C,MATCH($A28,'Smelter Look-up'!$E:$E,0)))</f>
        <v>Tin Smelting Branch of Yunnan Tin Co., Ltd.</v>
      </c>
      <c r="D28" s="213"/>
      <c r="E28" s="166" t="str">
        <f ca="1">IF(ISERROR($V28),"",OFFSET('Smelter Look-up'!$D$4,$V28-4,0)&amp;"")</f>
        <v>CHINA</v>
      </c>
      <c r="F28" s="166" t="str">
        <f ca="1">IF(ISERROR($V28),"",OFFSET('Smelter Look-up'!$E$4,$V28-4,0))</f>
        <v>CID002180</v>
      </c>
      <c r="G28" s="166" t="str">
        <f ca="1">IF(C28=$X$4,IF(ISERROR($V28),"Enter smelter details","RMI"),IF(ISERROR($V28),"",OFFSET('Smelter Look-up'!$F$4,$V28-4,0)))</f>
        <v>RMI</v>
      </c>
      <c r="H28" s="167">
        <f ca="1">IF(ISERROR($V28),"",OFFSET('Smelter Look-up'!$G$4,$V28-4,0))</f>
        <v>0</v>
      </c>
      <c r="I28" s="168" t="str">
        <f ca="1">IF(ISERROR($V28),"",OFFSET('Smelter Look-up'!$H$4,$V28-4,0))</f>
        <v>Gejiu</v>
      </c>
      <c r="J28" s="168" t="str">
        <f ca="1">IF(ISERROR($V28),"",OFFSET('Smelter Look-up'!$I$4,$V28-4,0))</f>
        <v>Yunnan Sheng</v>
      </c>
      <c r="K28" s="207"/>
      <c r="L28" s="207"/>
      <c r="M28" s="207"/>
      <c r="N28" s="207"/>
      <c r="O28" s="207"/>
      <c r="P28" s="169"/>
      <c r="Q28" s="208"/>
      <c r="R28" s="166" t="str">
        <f ca="1">IF(ISERROR($V28),"",OFFSET('Smelter Look-up'!$C$4,$V28-4,0)&amp;"")</f>
        <v>Tin Smelting Branch of Yunnan Tin Co., Ltd.</v>
      </c>
      <c r="S28" s="165" t="str">
        <f t="shared" ca="1" si="2"/>
        <v>CN</v>
      </c>
      <c r="T28" s="165" t="str">
        <f ca="1">IF(B28="","",IF(ISERROR(MATCH($J28,SorP!$B$1:$B$6261,0)),"",INDIRECT("'SorP'!$A$"&amp;MATCH($S28&amp;$J28,SorP!C:C,0))))</f>
        <v>CN-YN</v>
      </c>
      <c r="U28" s="185"/>
      <c r="V28" s="209">
        <f ca="1">IF(C28="",NA(),IF(OR(C28="Smelter not listed",C28="Smelter not yet identified"),MATCH($B28&amp;$D28,'Smelter Look-up'!$J:$J,0),MATCH($B28&amp;$C28,'Smelter Look-up'!$J:$J,0)))</f>
        <v>546</v>
      </c>
      <c r="X28" s="210">
        <f t="shared" ca="1" si="3"/>
        <v>0</v>
      </c>
      <c r="AB28" s="211" t="str">
        <f t="shared" ca="1" si="4"/>
        <v>TinTin Smelting Branch of Yunnan Tin Co., Ltd.</v>
      </c>
    </row>
    <row r="29" spans="1:28" s="210" customFormat="1" ht="89.25">
      <c r="A29" s="165" t="s">
        <v>1356</v>
      </c>
      <c r="B29" s="166" t="str">
        <f ca="1">IF(LEN(A29)=0,"",INDEX('Smelter Look-up'!$A:$A,MATCH($A29,'Smelter Look-up'!$E:$E,0)))</f>
        <v>Tin</v>
      </c>
      <c r="C29" s="170" t="str">
        <f ca="1">IF(LEN(A29)=0,"",INDEX('Smelter Look-up'!$C:$C,MATCH($A29,'Smelter Look-up'!$E:$E,0)))</f>
        <v>PT ATD Makmur Mandiri Jaya</v>
      </c>
      <c r="D29" s="213"/>
      <c r="E29" s="166" t="str">
        <f ca="1">IF(ISERROR($V29),"",OFFSET('Smelter Look-up'!$D$4,$V29-4,0)&amp;"")</f>
        <v>INDONESIA</v>
      </c>
      <c r="F29" s="166" t="str">
        <f ca="1">IF(ISERROR($V29),"",OFFSET('Smelter Look-up'!$E$4,$V29-4,0))</f>
        <v>CID002503</v>
      </c>
      <c r="G29" s="166" t="str">
        <f ca="1">IF(C29=$X$4,IF(ISERROR($V29),"Enter smelter details","RMI"),IF(ISERROR($V29),"",OFFSET('Smelter Look-up'!$F$4,$V29-4,0)))</f>
        <v>RMI</v>
      </c>
      <c r="H29" s="167">
        <f ca="1">IF(ISERROR($V29),"",OFFSET('Smelter Look-up'!$G$4,$V29-4,0))</f>
        <v>0</v>
      </c>
      <c r="I29" s="168" t="str">
        <f ca="1">IF(ISERROR($V29),"",OFFSET('Smelter Look-up'!$H$4,$V29-4,0))</f>
        <v>Sungailiat</v>
      </c>
      <c r="J29" s="168" t="str">
        <f ca="1">IF(ISERROR($V29),"",OFFSET('Smelter Look-up'!$I$4,$V29-4,0))</f>
        <v>Kepulauan Bangka Belitung</v>
      </c>
      <c r="K29" s="207"/>
      <c r="L29" s="207"/>
      <c r="M29" s="207"/>
      <c r="N29" s="207"/>
      <c r="O29" s="207"/>
      <c r="P29" s="169"/>
      <c r="Q29" s="208"/>
      <c r="R29" s="166" t="str">
        <f ca="1">IF(ISERROR($V29),"",OFFSET('Smelter Look-up'!$C$4,$V29-4,0)&amp;"")</f>
        <v>PT ATD Makmur Mandiri Jaya</v>
      </c>
      <c r="S29" s="165" t="str">
        <f t="shared" ca="1" si="2"/>
        <v>ID</v>
      </c>
      <c r="T29" s="165" t="str">
        <f ca="1">IF(B29="","",IF(ISERROR(MATCH($J29,SorP!$B$1:$B$6261,0)),"",INDIRECT("'SorP'!$A$"&amp;MATCH($S29&amp;$J29,SorP!C:C,0))))</f>
        <v>ID-BB</v>
      </c>
      <c r="U29" s="185"/>
      <c r="V29" s="209">
        <f ca="1">IF(C29="",NA(),IF(OR(C29="Smelter not listed",C29="Smelter not yet identified"),MATCH($B29&amp;$D29,'Smelter Look-up'!$J:$J,0),MATCH($B29&amp;$C29,'Smelter Look-up'!$J:$J,0)))</f>
        <v>520</v>
      </c>
      <c r="X29" s="210">
        <f t="shared" ca="1" si="3"/>
        <v>0</v>
      </c>
      <c r="AB29" s="211" t="str">
        <f t="shared" ca="1" si="4"/>
        <v>TinPT ATD Makmur Mandiri Jaya</v>
      </c>
    </row>
    <row r="30" spans="1:28" s="210" customFormat="1" ht="63.75">
      <c r="A30" s="165" t="s">
        <v>2419</v>
      </c>
      <c r="B30" s="166" t="str">
        <f ca="1">IF(LEN(A30)=0,"",INDEX('Smelter Look-up'!$A:$A,MATCH($A30,'Smelter Look-up'!$E:$E,0)))</f>
        <v>Tin</v>
      </c>
      <c r="C30" s="170" t="str">
        <f ca="1">IF(LEN(A30)=0,"",INDEX('Smelter Look-up'!$C:$C,MATCH($A30,'Smelter Look-up'!$E:$E,0)))</f>
        <v>Guangdong Hanhe Non-Ferrous Metal Co., Ltd.</v>
      </c>
      <c r="D30" s="213"/>
      <c r="E30" s="166" t="str">
        <f ca="1">IF(ISERROR($V30),"",OFFSET('Smelter Look-up'!$D$4,$V30-4,0)&amp;"")</f>
        <v>CHINA</v>
      </c>
      <c r="F30" s="166" t="str">
        <f ca="1">IF(ISERROR($V30),"",OFFSET('Smelter Look-up'!$E$4,$V30-4,0))</f>
        <v>CID003116</v>
      </c>
      <c r="G30" s="166" t="str">
        <f ca="1">IF(C30=$X$4,IF(ISERROR($V30),"Enter smelter details","RMI"),IF(ISERROR($V30),"",OFFSET('Smelter Look-up'!$F$4,$V30-4,0)))</f>
        <v>RMI</v>
      </c>
      <c r="H30" s="167">
        <f ca="1">IF(ISERROR($V30),"",OFFSET('Smelter Look-up'!$G$4,$V30-4,0))</f>
        <v>0</v>
      </c>
      <c r="I30" s="168" t="str">
        <f ca="1">IF(ISERROR($V30),"",OFFSET('Smelter Look-up'!$H$4,$V30-4,0))</f>
        <v>Chaozhou</v>
      </c>
      <c r="J30" s="168" t="str">
        <f ca="1">IF(ISERROR($V30),"",OFFSET('Smelter Look-up'!$I$4,$V30-4,0))</f>
        <v>Guangdong Sheng</v>
      </c>
      <c r="K30" s="207"/>
      <c r="L30" s="207"/>
      <c r="M30" s="207"/>
      <c r="N30" s="207"/>
      <c r="O30" s="207"/>
      <c r="P30" s="169"/>
      <c r="Q30" s="208"/>
      <c r="R30" s="166" t="str">
        <f ca="1">IF(ISERROR($V30),"",OFFSET('Smelter Look-up'!$C$4,$V30-4,0)&amp;"")</f>
        <v>Guangdong Hanhe Non-Ferrous Metal Co., Ltd.</v>
      </c>
      <c r="S30" s="165" t="str">
        <f t="shared" ca="1" si="2"/>
        <v>CN</v>
      </c>
      <c r="T30" s="165" t="str">
        <f ca="1">IF(B30="","",IF(ISERROR(MATCH($J30,SorP!$B$1:$B$6261,0)),"",INDIRECT("'SorP'!$A$"&amp;MATCH($S30&amp;$J30,SorP!C:C,0))))</f>
        <v>CN-GD</v>
      </c>
      <c r="U30" s="185"/>
      <c r="V30" s="209">
        <f ca="1">IF(C30="",NA(),IF(OR(C30="Smelter not listed",C30="Smelter not yet identified"),MATCH($B30&amp;$D30,'Smelter Look-up'!$J:$J,0),MATCH($B30&amp;$C30,'Smelter Look-up'!$J:$J,0)))</f>
        <v>475</v>
      </c>
      <c r="X30" s="210">
        <f t="shared" ca="1" si="3"/>
        <v>0</v>
      </c>
      <c r="AB30" s="211" t="str">
        <f t="shared" ca="1" si="4"/>
        <v>TinGuangdong Hanhe Non-Ferrous Metal Co., Ltd.</v>
      </c>
    </row>
    <row r="31" spans="1:28" s="210" customFormat="1" ht="102">
      <c r="A31" s="165" t="s">
        <v>710</v>
      </c>
      <c r="B31" s="166" t="str">
        <f ca="1">IF(LEN(A31)=0,"",INDEX('Smelter Look-up'!$A:$A,MATCH($A31,'Smelter Look-up'!$E:$E,0)))</f>
        <v>Gold</v>
      </c>
      <c r="C31" s="170" t="str">
        <f ca="1">IF(LEN(A31)=0,"",INDEX('Smelter Look-up'!$C:$C,MATCH($A31,'Smelter Look-up'!$E:$E,0)))</f>
        <v>Umicore S.A. Business Unit Precious Metals Refining</v>
      </c>
      <c r="D31" s="213"/>
      <c r="E31" s="166" t="str">
        <f ca="1">IF(ISERROR($V31),"",OFFSET('Smelter Look-up'!$D$4,$V31-4,0)&amp;"")</f>
        <v>BELGIUM</v>
      </c>
      <c r="F31" s="166" t="str">
        <f ca="1">IF(ISERROR($V31),"",OFFSET('Smelter Look-up'!$E$4,$V31-4,0))</f>
        <v>CID001980</v>
      </c>
      <c r="G31" s="166" t="str">
        <f ca="1">IF(C31=$X$4,IF(ISERROR($V31),"Enter smelter details","RMI"),IF(ISERROR($V31),"",OFFSET('Smelter Look-up'!$F$4,$V31-4,0)))</f>
        <v>RMI</v>
      </c>
      <c r="H31" s="167">
        <f ca="1">IF(ISERROR($V31),"",OFFSET('Smelter Look-up'!$G$4,$V31-4,0))</f>
        <v>0</v>
      </c>
      <c r="I31" s="168" t="str">
        <f ca="1">IF(ISERROR($V31),"",OFFSET('Smelter Look-up'!$H$4,$V31-4,0))</f>
        <v>Hoboken</v>
      </c>
      <c r="J31" s="168" t="str">
        <f ca="1">IF(ISERROR($V31),"",OFFSET('Smelter Look-up'!$I$4,$V31-4,0))</f>
        <v>Antwerpen</v>
      </c>
      <c r="K31" s="207"/>
      <c r="L31" s="207"/>
      <c r="M31" s="207"/>
      <c r="N31" s="207"/>
      <c r="O31" s="207"/>
      <c r="P31" s="169"/>
      <c r="Q31" s="208"/>
      <c r="R31" s="166" t="str">
        <f ca="1">IF(ISERROR($V31),"",OFFSET('Smelter Look-up'!$C$4,$V31-4,0)&amp;"")</f>
        <v>Umicore S.A. Business Unit Precious Metals Refining</v>
      </c>
      <c r="S31" s="165" t="str">
        <f t="shared" ca="1" si="2"/>
        <v>BE</v>
      </c>
      <c r="T31" s="165" t="str">
        <f ca="1">IF(B31="","",IF(ISERROR(MATCH($J31,SorP!$B$1:$B$6261,0)),"",INDIRECT("'SorP'!$A$"&amp;MATCH($S31&amp;$J31,SorP!C:C,0))))</f>
        <v>BE-VAN</v>
      </c>
      <c r="U31" s="185"/>
      <c r="V31" s="209">
        <f ca="1">IF(C31="",NA(),IF(OR(C31="Smelter not listed",C31="Smelter not yet identified"),MATCH($B31&amp;$D31,'Smelter Look-up'!$J:$J,0),MATCH($B31&amp;$C31,'Smelter Look-up'!$J:$J,0)))</f>
        <v>319</v>
      </c>
      <c r="X31" s="210">
        <f t="shared" ca="1" si="3"/>
        <v>0</v>
      </c>
      <c r="AB31" s="211" t="str">
        <f t="shared" ca="1" si="4"/>
        <v>GoldUmicore S.A. Business Unit Precious Metals Refining</v>
      </c>
    </row>
    <row r="32" spans="1:28" s="210" customFormat="1" ht="102">
      <c r="A32" s="165" t="s">
        <v>13348</v>
      </c>
      <c r="B32" s="166" t="str">
        <f ca="1">IF(LEN(A32)=0,"",INDEX('Smelter Look-up'!$A:$A,MATCH($A32,'Smelter Look-up'!$E:$E,0)))</f>
        <v>Tin</v>
      </c>
      <c r="C32" s="170" t="str">
        <f ca="1">IF(LEN(A32)=0,"",INDEX('Smelter Look-up'!$C:$C,MATCH($A32,'Smelter Look-up'!$E:$E,0)))</f>
        <v>Luna Smelter, Ltd.</v>
      </c>
      <c r="D32" s="213"/>
      <c r="E32" s="166" t="str">
        <f ca="1">IF(ISERROR($V32),"",OFFSET('Smelter Look-up'!$D$4,$V32-4,0)&amp;"")</f>
        <v>RWANDA</v>
      </c>
      <c r="F32" s="166" t="str">
        <f ca="1">IF(ISERROR($V32),"",OFFSET('Smelter Look-up'!$E$4,$V32-4,0))</f>
        <v>CID003387</v>
      </c>
      <c r="G32" s="166" t="str">
        <f ca="1">IF(C32=$X$4,IF(ISERROR($V32),"Enter smelter details","RMI"),IF(ISERROR($V32),"",OFFSET('Smelter Look-up'!$F$4,$V32-4,0)))</f>
        <v>RMI</v>
      </c>
      <c r="H32" s="167">
        <f ca="1">IF(ISERROR($V32),"",OFFSET('Smelter Look-up'!$G$4,$V32-4,0))</f>
        <v>0</v>
      </c>
      <c r="I32" s="168" t="str">
        <f ca="1">IF(ISERROR($V32),"",OFFSET('Smelter Look-up'!$H$4,$V32-4,0))</f>
        <v>Kigali</v>
      </c>
      <c r="J32" s="168" t="str">
        <f ca="1">IF(ISERROR($V32),"",OFFSET('Smelter Look-up'!$I$4,$V32-4,0))</f>
        <v>City of Kigali</v>
      </c>
      <c r="K32" s="207"/>
      <c r="L32" s="207"/>
      <c r="M32" s="207"/>
      <c r="N32" s="207"/>
      <c r="O32" s="207"/>
      <c r="P32" s="169"/>
      <c r="Q32" s="208"/>
      <c r="R32" s="166" t="str">
        <f ca="1">IF(ISERROR($V32),"",OFFSET('Smelter Look-up'!$C$4,$V32-4,0)&amp;"")</f>
        <v>Luna Smelter, Ltd.</v>
      </c>
      <c r="S32" s="165" t="str">
        <f t="shared" ca="1" si="2"/>
        <v>RW</v>
      </c>
      <c r="T32" s="165" t="str">
        <f ca="1">IF(B32="","",IF(ISERROR(MATCH($J32,SorP!$B$1:$B$6261,0)),"",INDIRECT("'SorP'!$A$"&amp;MATCH($S32&amp;$J32,SorP!C:C,0))))</f>
        <v>RW-01</v>
      </c>
      <c r="U32" s="185"/>
      <c r="V32" s="209">
        <f ca="1">IF(C32="",NA(),IF(OR(C32="Smelter not listed",C32="Smelter not yet identified"),MATCH($B32&amp;$D32,'Smelter Look-up'!$J:$J,0),MATCH($B32&amp;$C32,'Smelter Look-up'!$J:$J,0)))</f>
        <v>488</v>
      </c>
      <c r="X32" s="210">
        <f t="shared" ca="1" si="3"/>
        <v>0</v>
      </c>
      <c r="AB32" s="211" t="str">
        <f t="shared" ca="1" si="4"/>
        <v>TinLuna Smelter, Ltd.</v>
      </c>
    </row>
    <row r="33" spans="1:28" s="210" customFormat="1" ht="38.25">
      <c r="A33" s="165" t="s">
        <v>631</v>
      </c>
      <c r="B33" s="166" t="str">
        <f ca="1">IF(LEN(A33)=0,"",INDEX('Smelter Look-up'!$A:$A,MATCH($A33,'Smelter Look-up'!$E:$E,0)))</f>
        <v>Gold</v>
      </c>
      <c r="C33" s="170" t="str">
        <f ca="1">IF(LEN(A33)=0,"",INDEX('Smelter Look-up'!$C:$C,MATCH($A33,'Smelter Look-up'!$E:$E,0)))</f>
        <v>Agosi AG</v>
      </c>
      <c r="D33" s="213"/>
      <c r="E33" s="166" t="str">
        <f ca="1">IF(ISERROR($V33),"",OFFSET('Smelter Look-up'!$D$4,$V33-4,0)&amp;"")</f>
        <v>GERMANY</v>
      </c>
      <c r="F33" s="166" t="str">
        <f ca="1">IF(ISERROR($V33),"",OFFSET('Smelter Look-up'!$E$4,$V33-4,0))</f>
        <v>CID000035</v>
      </c>
      <c r="G33" s="166" t="str">
        <f ca="1">IF(C33=$X$4,IF(ISERROR($V33),"Enter smelter details","RMI"),IF(ISERROR($V33),"",OFFSET('Smelter Look-up'!$F$4,$V33-4,0)))</f>
        <v>RMI</v>
      </c>
      <c r="H33" s="167">
        <f ca="1">IF(ISERROR($V33),"",OFFSET('Smelter Look-up'!$G$4,$V33-4,0))</f>
        <v>0</v>
      </c>
      <c r="I33" s="168" t="str">
        <f ca="1">IF(ISERROR($V33),"",OFFSET('Smelter Look-up'!$H$4,$V33-4,0))</f>
        <v>Pforzheim</v>
      </c>
      <c r="J33" s="168" t="str">
        <f ca="1">IF(ISERROR($V33),"",OFFSET('Smelter Look-up'!$I$4,$V33-4,0))</f>
        <v>Baden-Württemberg</v>
      </c>
      <c r="K33" s="207"/>
      <c r="L33" s="207"/>
      <c r="M33" s="207"/>
      <c r="N33" s="207"/>
      <c r="O33" s="207"/>
      <c r="P33" s="169"/>
      <c r="Q33" s="208"/>
      <c r="R33" s="166" t="str">
        <f ca="1">IF(ISERROR($V33),"",OFFSET('Smelter Look-up'!$C$4,$V33-4,0)&amp;"")</f>
        <v>Agosi AG</v>
      </c>
      <c r="S33" s="165" t="str">
        <f t="shared" ca="1" si="2"/>
        <v>DE</v>
      </c>
      <c r="T33" s="165" t="str">
        <f ca="1">IF(B33="","",IF(ISERROR(MATCH($J33,SorP!$B$1:$B$6261,0)),"",INDIRECT("'SorP'!$A$"&amp;MATCH($S33&amp;$J33,SorP!C:C,0))))</f>
        <v>DE-BW</v>
      </c>
      <c r="U33" s="185"/>
      <c r="V33" s="209">
        <f ca="1">IF(C33="",NA(),IF(OR(C33="Smelter not listed",C33="Smelter not yet identified"),MATCH($B33&amp;$D33,'Smelter Look-up'!$J:$J,0),MATCH($B33&amp;$C33,'Smelter Look-up'!$J:$J,0)))</f>
        <v>10</v>
      </c>
      <c r="X33" s="210">
        <f t="shared" ca="1" si="3"/>
        <v>0</v>
      </c>
      <c r="AB33" s="211" t="str">
        <f t="shared" ca="1" si="4"/>
        <v>GoldAgosi AG</v>
      </c>
    </row>
    <row r="34" spans="1:28" s="210" customFormat="1" ht="25.5">
      <c r="A34" s="165" t="s">
        <v>679</v>
      </c>
      <c r="B34" s="166" t="str">
        <f ca="1">IF(LEN(A34)=0,"",INDEX('Smelter Look-up'!$A:$A,MATCH($A34,'Smelter Look-up'!$E:$E,0)))</f>
        <v>Gold</v>
      </c>
      <c r="C34" s="170" t="str">
        <f ca="1">IF(LEN(A34)=0,"",INDEX('Smelter Look-up'!$C:$C,MATCH($A34,'Smelter Look-up'!$E:$E,0)))</f>
        <v>Metalor Technologies S.A.</v>
      </c>
      <c r="D34" s="213"/>
      <c r="E34" s="166" t="str">
        <f ca="1">IF(ISERROR($V34),"",OFFSET('Smelter Look-up'!$D$4,$V34-4,0)&amp;"")</f>
        <v>SWITZERLAND</v>
      </c>
      <c r="F34" s="166" t="str">
        <f ca="1">IF(ISERROR($V34),"",OFFSET('Smelter Look-up'!$E$4,$V34-4,0))</f>
        <v>CID001153</v>
      </c>
      <c r="G34" s="166" t="str">
        <f ca="1">IF(C34=$X$4,IF(ISERROR($V34),"Enter smelter details","RMI"),IF(ISERROR($V34),"",OFFSET('Smelter Look-up'!$F$4,$V34-4,0)))</f>
        <v>RMI</v>
      </c>
      <c r="H34" s="167">
        <f ca="1">IF(ISERROR($V34),"",OFFSET('Smelter Look-up'!$G$4,$V34-4,0))</f>
        <v>0</v>
      </c>
      <c r="I34" s="168" t="str">
        <f ca="1">IF(ISERROR($V34),"",OFFSET('Smelter Look-up'!$H$4,$V34-4,0))</f>
        <v>Marin</v>
      </c>
      <c r="J34" s="168" t="str">
        <f ca="1">IF(ISERROR($V34),"",OFFSET('Smelter Look-up'!$I$4,$V34-4,0))</f>
        <v>Neuchâtel</v>
      </c>
      <c r="K34" s="207"/>
      <c r="L34" s="207"/>
      <c r="M34" s="207"/>
      <c r="N34" s="207"/>
      <c r="O34" s="207"/>
      <c r="P34" s="169"/>
      <c r="Q34" s="208"/>
      <c r="R34" s="166" t="str">
        <f ca="1">IF(ISERROR($V34),"",OFFSET('Smelter Look-up'!$C$4,$V34-4,0)&amp;"")</f>
        <v>Metalor Technologies S.A.</v>
      </c>
      <c r="S34" s="165" t="str">
        <f t="shared" ca="1" si="2"/>
        <v>CH</v>
      </c>
      <c r="T34" s="165" t="str">
        <f ca="1">IF(B34="","",IF(ISERROR(MATCH($J34,SorP!$B$1:$B$6261,0)),"",INDIRECT("'SorP'!$A$"&amp;MATCH($S34&amp;$J34,SorP!C:C,0))))</f>
        <v>CH-NE</v>
      </c>
      <c r="U34" s="185"/>
      <c r="V34" s="209">
        <f ca="1">IF(C34="",NA(),IF(OR(C34="Smelter not listed",C34="Smelter not yet identified"),MATCH($B34&amp;$D34,'Smelter Look-up'!$J:$J,0),MATCH($B34&amp;$C34,'Smelter Look-up'!$J:$J,0)))</f>
        <v>196</v>
      </c>
      <c r="X34" s="210">
        <f t="shared" ca="1" si="3"/>
        <v>0</v>
      </c>
      <c r="AB34" s="211" t="str">
        <f t="shared" ca="1" si="4"/>
        <v>GoldMetalor Technologies S.A.</v>
      </c>
    </row>
    <row r="35" spans="1:28" s="210" customFormat="1" ht="63.75">
      <c r="A35" s="165" t="s">
        <v>634</v>
      </c>
      <c r="B35" s="166" t="str">
        <f ca="1">IF(LEN(A35)=0,"",INDEX('Smelter Look-up'!$A:$A,MATCH($A35,'Smelter Look-up'!$E:$E,0)))</f>
        <v>Gold</v>
      </c>
      <c r="C35" s="170" t="str">
        <f ca="1">IF(LEN(A35)=0,"",INDEX('Smelter Look-up'!$C:$C,MATCH($A35,'Smelter Look-up'!$E:$E,0)))</f>
        <v>Argor-Heraeus S.A.</v>
      </c>
      <c r="D35" s="213"/>
      <c r="E35" s="166" t="str">
        <f ca="1">IF(ISERROR($V35),"",OFFSET('Smelter Look-up'!$D$4,$V35-4,0)&amp;"")</f>
        <v>SWITZERLAND</v>
      </c>
      <c r="F35" s="166" t="str">
        <f ca="1">IF(ISERROR($V35),"",OFFSET('Smelter Look-up'!$E$4,$V35-4,0))</f>
        <v>CID000077</v>
      </c>
      <c r="G35" s="166" t="str">
        <f ca="1">IF(C35=$X$4,IF(ISERROR($V35),"Enter smelter details","RMI"),IF(ISERROR($V35),"",OFFSET('Smelter Look-up'!$F$4,$V35-4,0)))</f>
        <v>RMI</v>
      </c>
      <c r="H35" s="167">
        <f ca="1">IF(ISERROR($V35),"",OFFSET('Smelter Look-up'!$G$4,$V35-4,0))</f>
        <v>0</v>
      </c>
      <c r="I35" s="168" t="str">
        <f ca="1">IF(ISERROR($V35),"",OFFSET('Smelter Look-up'!$H$4,$V35-4,0))</f>
        <v>Mendrisio</v>
      </c>
      <c r="J35" s="168" t="str">
        <f ca="1">IF(ISERROR($V35),"",OFFSET('Smelter Look-up'!$I$4,$V35-4,0))</f>
        <v>Ticino</v>
      </c>
      <c r="K35" s="207"/>
      <c r="L35" s="207"/>
      <c r="M35" s="207"/>
      <c r="N35" s="207"/>
      <c r="O35" s="207"/>
      <c r="P35" s="169"/>
      <c r="Q35" s="208"/>
      <c r="R35" s="166" t="str">
        <f ca="1">IF(ISERROR($V35),"",OFFSET('Smelter Look-up'!$C$4,$V35-4,0)&amp;"")</f>
        <v>Argor-Heraeus S.A.</v>
      </c>
      <c r="S35" s="165" t="str">
        <f t="shared" ca="1" si="2"/>
        <v>CH</v>
      </c>
      <c r="T35" s="165" t="str">
        <f ca="1">IF(B35="","",IF(ISERROR(MATCH($J35,SorP!$B$1:$B$6261,0)),"",INDIRECT("'SorP'!$A$"&amp;MATCH($S35&amp;$J35,SorP!C:C,0))))</f>
        <v>CH-TI</v>
      </c>
      <c r="U35" s="185"/>
      <c r="V35" s="209">
        <f ca="1">IF(C35="",NA(),IF(OR(C35="Smelter not listed",C35="Smelter not yet identified"),MATCH($B35&amp;$D35,'Smelter Look-up'!$J:$J,0),MATCH($B35&amp;$C35,'Smelter Look-up'!$J:$J,0)))</f>
        <v>31</v>
      </c>
      <c r="X35" s="210">
        <f t="shared" ca="1" si="3"/>
        <v>0</v>
      </c>
      <c r="AB35" s="211" t="str">
        <f t="shared" ca="1" si="4"/>
        <v>GoldArgor-Heraeus S.A.</v>
      </c>
    </row>
    <row r="36" spans="1:28" s="210" customFormat="1" ht="51">
      <c r="A36" s="165" t="s">
        <v>637</v>
      </c>
      <c r="B36" s="166" t="str">
        <f ca="1">IF(LEN(A36)=0,"",INDEX('Smelter Look-up'!$A:$A,MATCH($A36,'Smelter Look-up'!$E:$E,0)))</f>
        <v>Gold</v>
      </c>
      <c r="C36" s="170" t="str">
        <f ca="1">IF(LEN(A36)=0,"",INDEX('Smelter Look-up'!$C:$C,MATCH($A36,'Smelter Look-up'!$E:$E,0)))</f>
        <v>Aurubis AG, Hamburg</v>
      </c>
      <c r="D36" s="213"/>
      <c r="E36" s="166" t="str">
        <f ca="1">IF(ISERROR($V36),"",OFFSET('Smelter Look-up'!$D$4,$V36-4,0)&amp;"")</f>
        <v>GERMANY</v>
      </c>
      <c r="F36" s="166" t="str">
        <f ca="1">IF(ISERROR($V36),"",OFFSET('Smelter Look-up'!$E$4,$V36-4,0))</f>
        <v>CID000113</v>
      </c>
      <c r="G36" s="166" t="str">
        <f ca="1">IF(C36=$X$4,IF(ISERROR($V36),"Enter smelter details","RMI"),IF(ISERROR($V36),"",OFFSET('Smelter Look-up'!$F$4,$V36-4,0)))</f>
        <v>RMI</v>
      </c>
      <c r="H36" s="167">
        <f ca="1">IF(ISERROR($V36),"",OFFSET('Smelter Look-up'!$G$4,$V36-4,0))</f>
        <v>0</v>
      </c>
      <c r="I36" s="168" t="str">
        <f ca="1">IF(ISERROR($V36),"",OFFSET('Smelter Look-up'!$H$4,$V36-4,0))</f>
        <v>Hamburg</v>
      </c>
      <c r="J36" s="168" t="str">
        <f ca="1">IF(ISERROR($V36),"",OFFSET('Smelter Look-up'!$I$4,$V36-4,0))</f>
        <v>Hamburg</v>
      </c>
      <c r="K36" s="207"/>
      <c r="L36" s="207"/>
      <c r="M36" s="207"/>
      <c r="N36" s="207"/>
      <c r="O36" s="207"/>
      <c r="P36" s="169"/>
      <c r="Q36" s="208"/>
      <c r="R36" s="166" t="str">
        <f ca="1">IF(ISERROR($V36),"",OFFSET('Smelter Look-up'!$C$4,$V36-4,0)&amp;"")</f>
        <v>Aurubis AG, Hamburg</v>
      </c>
      <c r="S36" s="165" t="str">
        <f t="shared" ca="1" si="2"/>
        <v>DE</v>
      </c>
      <c r="T36" s="165" t="str">
        <f ca="1">IF(B36="","",IF(ISERROR(MATCH($J36,SorP!$B$1:$B$6261,0)),"",INDIRECT("'SorP'!$A$"&amp;MATCH($S36&amp;$J36,SorP!C:C,0))))</f>
        <v>DE-HH</v>
      </c>
      <c r="U36" s="185"/>
      <c r="V36" s="209">
        <f ca="1">IF(C36="",NA(),IF(OR(C36="Smelter not listed",C36="Smelter not yet identified"),MATCH($B36&amp;$D36,'Smelter Look-up'!$J:$J,0),MATCH($B36&amp;$C36,'Smelter Look-up'!$J:$J,0)))</f>
        <v>44</v>
      </c>
      <c r="X36" s="210">
        <f t="shared" ca="1" si="3"/>
        <v>0</v>
      </c>
      <c r="AB36" s="211" t="str">
        <f t="shared" ca="1" si="4"/>
        <v>GoldAurubis AG, Hamburg</v>
      </c>
    </row>
    <row r="37" spans="1:28" s="210" customFormat="1" ht="51">
      <c r="A37" s="165" t="s">
        <v>641</v>
      </c>
      <c r="B37" s="166" t="str">
        <f ca="1">IF(LEN(A37)=0,"",INDEX('Smelter Look-up'!$A:$A,MATCH($A37,'Smelter Look-up'!$E:$E,0)))</f>
        <v>Gold</v>
      </c>
      <c r="C37" s="170" t="str">
        <f ca="1">IF(LEN(A37)=0,"",INDEX('Smelter Look-up'!$C:$C,MATCH($A37,'Smelter Look-up'!$E:$E,0)))</f>
        <v>C. Hafner GmbH + Co. KG</v>
      </c>
      <c r="D37" s="213"/>
      <c r="E37" s="166" t="str">
        <f ca="1">IF(ISERROR($V37),"",OFFSET('Smelter Look-up'!$D$4,$V37-4,0)&amp;"")</f>
        <v>GERMANY</v>
      </c>
      <c r="F37" s="166" t="str">
        <f ca="1">IF(ISERROR($V37),"",OFFSET('Smelter Look-up'!$E$4,$V37-4,0))</f>
        <v>CID000176</v>
      </c>
      <c r="G37" s="166" t="str">
        <f ca="1">IF(C37=$X$4,IF(ISERROR($V37),"Enter smelter details","RMI"),IF(ISERROR($V37),"",OFFSET('Smelter Look-up'!$F$4,$V37-4,0)))</f>
        <v>RMI</v>
      </c>
      <c r="H37" s="167">
        <f ca="1">IF(ISERROR($V37),"",OFFSET('Smelter Look-up'!$G$4,$V37-4,0))</f>
        <v>0</v>
      </c>
      <c r="I37" s="168" t="str">
        <f ca="1">IF(ISERROR($V37),"",OFFSET('Smelter Look-up'!$H$4,$V37-4,0))</f>
        <v>Wimsheim</v>
      </c>
      <c r="J37" s="168" t="str">
        <f ca="1">IF(ISERROR($V37),"",OFFSET('Smelter Look-up'!$I$4,$V37-4,0))</f>
        <v>Baden-Württemberg</v>
      </c>
      <c r="K37" s="207"/>
      <c r="L37" s="207"/>
      <c r="M37" s="207"/>
      <c r="N37" s="207"/>
      <c r="O37" s="207"/>
      <c r="P37" s="169"/>
      <c r="Q37" s="208"/>
      <c r="R37" s="166" t="str">
        <f ca="1">IF(ISERROR($V37),"",OFFSET('Smelter Look-up'!$C$4,$V37-4,0)&amp;"")</f>
        <v>C. Hafner GmbH + Co. KG</v>
      </c>
      <c r="S37" s="165" t="str">
        <f t="shared" ca="1" si="2"/>
        <v>DE</v>
      </c>
      <c r="T37" s="165" t="str">
        <f ca="1">IF(B37="","",IF(ISERROR(MATCH($J37,SorP!$B$1:$B$6261,0)),"",INDIRECT("'SorP'!$A$"&amp;MATCH($S37&amp;$J37,SorP!C:C,0))))</f>
        <v>DE-BW</v>
      </c>
      <c r="U37" s="185"/>
      <c r="V37" s="209">
        <f ca="1">IF(C37="",NA(),IF(OR(C37="Smelter not listed",C37="Smelter not yet identified"),MATCH($B37&amp;$D37,'Smelter Look-up'!$J:$J,0),MATCH($B37&amp;$C37,'Smelter Look-up'!$J:$J,0)))</f>
        <v>54</v>
      </c>
      <c r="X37" s="210">
        <f t="shared" ca="1" si="3"/>
        <v>0</v>
      </c>
      <c r="AB37" s="211" t="str">
        <f t="shared" ca="1" si="4"/>
        <v>GoldC. Hafner GmbH + Co. KG</v>
      </c>
    </row>
    <row r="38" spans="1:28" s="210" customFormat="1" ht="51">
      <c r="A38" s="165" t="s">
        <v>652</v>
      </c>
      <c r="B38" s="166" t="str">
        <f ca="1">IF(LEN(A38)=0,"",INDEX('Smelter Look-up'!$A:$A,MATCH($A38,'Smelter Look-up'!$E:$E,0)))</f>
        <v>Gold</v>
      </c>
      <c r="C38" s="170" t="str">
        <f ca="1">IF(LEN(A38)=0,"",INDEX('Smelter Look-up'!$C:$C,MATCH($A38,'Smelter Look-up'!$E:$E,0)))</f>
        <v>Heimerle + Meule GmbH</v>
      </c>
      <c r="D38" s="213"/>
      <c r="E38" s="166" t="str">
        <f ca="1">IF(ISERROR($V38),"",OFFSET('Smelter Look-up'!$D$4,$V38-4,0)&amp;"")</f>
        <v>GERMANY</v>
      </c>
      <c r="F38" s="166" t="str">
        <f ca="1">IF(ISERROR($V38),"",OFFSET('Smelter Look-up'!$E$4,$V38-4,0))</f>
        <v>CID000694</v>
      </c>
      <c r="G38" s="166" t="str">
        <f ca="1">IF(C38=$X$4,IF(ISERROR($V38),"Enter smelter details","RMI"),IF(ISERROR($V38),"",OFFSET('Smelter Look-up'!$F$4,$V38-4,0)))</f>
        <v>RMI</v>
      </c>
      <c r="H38" s="167">
        <f ca="1">IF(ISERROR($V38),"",OFFSET('Smelter Look-up'!$G$4,$V38-4,0))</f>
        <v>0</v>
      </c>
      <c r="I38" s="168" t="str">
        <f ca="1">IF(ISERROR($V38),"",OFFSET('Smelter Look-up'!$H$4,$V38-4,0))</f>
        <v>Pforzheim</v>
      </c>
      <c r="J38" s="168" t="str">
        <f ca="1">IF(ISERROR($V38),"",OFFSET('Smelter Look-up'!$I$4,$V38-4,0))</f>
        <v>Baden-Württemberg</v>
      </c>
      <c r="K38" s="207"/>
      <c r="L38" s="207"/>
      <c r="M38" s="207"/>
      <c r="N38" s="207"/>
      <c r="O38" s="207"/>
      <c r="P38" s="169"/>
      <c r="Q38" s="208"/>
      <c r="R38" s="166" t="str">
        <f ca="1">IF(ISERROR($V38),"",OFFSET('Smelter Look-up'!$C$4,$V38-4,0)&amp;"")</f>
        <v>Heimerle + Meule GmbH</v>
      </c>
      <c r="S38" s="165" t="str">
        <f t="shared" ref="S38:S68" ca="1" si="5">IF(B38="","",IF(ISERROR(MATCH($E38,CL,0)),"Unknown",INDIRECT("'C'!$A$"&amp;MATCH($E38,CL,0)+1)))</f>
        <v>DE</v>
      </c>
      <c r="T38" s="165" t="str">
        <f ca="1">IF(B38="","",IF(ISERROR(MATCH($J38,SorP!$B$1:$B$6261,0)),"",INDIRECT("'SorP'!$A$"&amp;MATCH($S38&amp;$J38,SorP!C:C,0))))</f>
        <v>DE-BW</v>
      </c>
      <c r="U38" s="185"/>
      <c r="V38" s="209">
        <f ca="1">IF(C38="",NA(),IF(OR(C38="Smelter not listed",C38="Smelter not yet identified"),MATCH($B38&amp;$D38,'Smelter Look-up'!$J:$J,0),MATCH($B38&amp;$C38,'Smelter Look-up'!$J:$J,0)))</f>
        <v>117</v>
      </c>
      <c r="X38" s="210">
        <f t="shared" ref="X38:X68" ca="1" si="6">IF(AND(C38="Smelter not listed",OR(LEN(D38)=0,LEN(E38)=0)),1,0)</f>
        <v>0</v>
      </c>
      <c r="AB38" s="211" t="str">
        <f t="shared" ref="AB38:AB68" ca="1" si="7">B38&amp;C38</f>
        <v>GoldHeimerle + Meule GmbH</v>
      </c>
    </row>
    <row r="39" spans="1:28" s="210" customFormat="1" ht="51">
      <c r="A39" s="165" t="s">
        <v>2110</v>
      </c>
      <c r="B39" s="166" t="str">
        <f ca="1">IF(LEN(A39)=0,"",INDEX('Smelter Look-up'!$A:$A,MATCH($A39,'Smelter Look-up'!$E:$E,0)))</f>
        <v>Gold</v>
      </c>
      <c r="C39" s="170" t="str">
        <f ca="1">IF(LEN(A39)=0,"",INDEX('Smelter Look-up'!$C:$C,MATCH($A39,'Smelter Look-up'!$E:$E,0)))</f>
        <v>WIELAND Edelmetalle GmbH</v>
      </c>
      <c r="D39" s="213"/>
      <c r="E39" s="166" t="str">
        <f ca="1">IF(ISERROR($V39),"",OFFSET('Smelter Look-up'!$D$4,$V39-4,0)&amp;"")</f>
        <v>GERMANY</v>
      </c>
      <c r="F39" s="166" t="str">
        <f ca="1">IF(ISERROR($V39),"",OFFSET('Smelter Look-up'!$E$4,$V39-4,0))</f>
        <v>CID002778</v>
      </c>
      <c r="G39" s="166" t="str">
        <f ca="1">IF(C39=$X$4,IF(ISERROR($V39),"Enter smelter details","RMI"),IF(ISERROR($V39),"",OFFSET('Smelter Look-up'!$F$4,$V39-4,0)))</f>
        <v>RMI</v>
      </c>
      <c r="H39" s="167">
        <f ca="1">IF(ISERROR($V39),"",OFFSET('Smelter Look-up'!$G$4,$V39-4,0))</f>
        <v>0</v>
      </c>
      <c r="I39" s="168" t="str">
        <f ca="1">IF(ISERROR($V39),"",OFFSET('Smelter Look-up'!$H$4,$V39-4,0))</f>
        <v>Pforzheim</v>
      </c>
      <c r="J39" s="168" t="str">
        <f ca="1">IF(ISERROR($V39),"",OFFSET('Smelter Look-up'!$I$4,$V39-4,0))</f>
        <v>Baden-Württemberg</v>
      </c>
      <c r="K39" s="207"/>
      <c r="L39" s="207"/>
      <c r="M39" s="207"/>
      <c r="N39" s="207"/>
      <c r="O39" s="207"/>
      <c r="P39" s="169"/>
      <c r="Q39" s="208"/>
      <c r="R39" s="166" t="str">
        <f ca="1">IF(ISERROR($V39),"",OFFSET('Smelter Look-up'!$C$4,$V39-4,0)&amp;"")</f>
        <v>WIELAND Edelmetalle GmbH</v>
      </c>
      <c r="S39" s="165" t="str">
        <f t="shared" ca="1" si="5"/>
        <v>DE</v>
      </c>
      <c r="T39" s="165" t="str">
        <f ca="1">IF(B39="","",IF(ISERROR(MATCH($J39,SorP!$B$1:$B$6261,0)),"",INDIRECT("'SorP'!$A$"&amp;MATCH($S39&amp;$J39,SorP!C:C,0))))</f>
        <v>DE-BW</v>
      </c>
      <c r="U39" s="185"/>
      <c r="V39" s="209">
        <f ca="1">IF(C39="",NA(),IF(OR(C39="Smelter not listed",C39="Smelter not yet identified"),MATCH($B39&amp;$D39,'Smelter Look-up'!$J:$J,0),MATCH($B39&amp;$C39,'Smelter Look-up'!$J:$J,0)))</f>
        <v>325</v>
      </c>
      <c r="X39" s="210">
        <f t="shared" ca="1" si="6"/>
        <v>0</v>
      </c>
      <c r="AB39" s="211" t="str">
        <f t="shared" ca="1" si="7"/>
        <v>GoldWIELAND Edelmetalle GmbH</v>
      </c>
    </row>
    <row r="40" spans="1:28" s="210" customFormat="1" ht="63.75">
      <c r="A40" s="165" t="s">
        <v>735</v>
      </c>
      <c r="B40" s="166" t="str">
        <f ca="1">IF(LEN(A40)=0,"",INDEX('Smelter Look-up'!$A:$A,MATCH($A40,'Smelter Look-up'!$E:$E,0)))</f>
        <v>Tin</v>
      </c>
      <c r="C40" s="170" t="str">
        <f ca="1">IF(LEN(A40)=0,"",INDEX('Smelter Look-up'!$C:$C,MATCH($A40,'Smelter Look-up'!$E:$E,0)))</f>
        <v>Alpha Assembly Solutions Inc</v>
      </c>
      <c r="D40" s="213"/>
      <c r="E40" s="166" t="str">
        <f ca="1">IF(ISERROR($V40),"",OFFSET('Smelter Look-up'!$D$4,$V40-4,0)&amp;"")</f>
        <v>UNITED STATES OF AMERICA</v>
      </c>
      <c r="F40" s="166" t="str">
        <f ca="1">IF(ISERROR($V40),"",OFFSET('Smelter Look-up'!$E$4,$V40-4,0))</f>
        <v>CID000292</v>
      </c>
      <c r="G40" s="166" t="str">
        <f ca="1">IF(C40=$X$4,IF(ISERROR($V40),"Enter smelter details","RMI"),IF(ISERROR($V40),"",OFFSET('Smelter Look-up'!$F$4,$V40-4,0)))</f>
        <v>RMI</v>
      </c>
      <c r="H40" s="167">
        <f ca="1">IF(ISERROR($V40),"",OFFSET('Smelter Look-up'!$G$4,$V40-4,0))</f>
        <v>0</v>
      </c>
      <c r="I40" s="168" t="str">
        <f ca="1">IF(ISERROR($V40),"",OFFSET('Smelter Look-up'!$H$4,$V40-4,0))</f>
        <v>Altoona</v>
      </c>
      <c r="J40" s="168" t="str">
        <f ca="1">IF(ISERROR($V40),"",OFFSET('Smelter Look-up'!$I$4,$V40-4,0))</f>
        <v>Pennsylvania</v>
      </c>
      <c r="K40" s="207"/>
      <c r="L40" s="207"/>
      <c r="M40" s="207"/>
      <c r="N40" s="207"/>
      <c r="O40" s="207"/>
      <c r="P40" s="169"/>
      <c r="Q40" s="208"/>
      <c r="R40" s="166" t="str">
        <f ca="1">IF(ISERROR($V40),"",OFFSET('Smelter Look-up'!$C$4,$V40-4,0)&amp;"")</f>
        <v>Alpha Assembly Solutions Inc</v>
      </c>
      <c r="S40" s="165" t="str">
        <f t="shared" ca="1" si="5"/>
        <v>US</v>
      </c>
      <c r="T40" s="165" t="str">
        <f ca="1">IF(B40="","",IF(ISERROR(MATCH($J40,SorP!$B$1:$B$6261,0)),"",INDIRECT("'SorP'!$A$"&amp;MATCH($S40&amp;$J40,SorP!C:C,0))))</f>
        <v>US-PA</v>
      </c>
      <c r="U40" s="185"/>
      <c r="V40" s="209">
        <f ca="1">IF(C40="",NA(),IF(OR(C40="Smelter not listed",C40="Smelter not yet identified"),MATCH($B40&amp;$D40,'Smelter Look-up'!$J:$J,0),MATCH($B40&amp;$C40,'Smelter Look-up'!$J:$J,0)))</f>
        <v>418</v>
      </c>
      <c r="X40" s="210">
        <f t="shared" ca="1" si="6"/>
        <v>0</v>
      </c>
      <c r="AB40" s="211" t="str">
        <f t="shared" ca="1" si="7"/>
        <v>TinAlpha Assembly Solutions Inc</v>
      </c>
    </row>
    <row r="41" spans="1:28" s="210" customFormat="1" ht="63.75">
      <c r="A41" s="165" t="s">
        <v>752</v>
      </c>
      <c r="B41" s="166" t="str">
        <f ca="1">IF(LEN(A41)=0,"",INDEX('Smelter Look-up'!$A:$A,MATCH($A41,'Smelter Look-up'!$E:$E,0)))</f>
        <v>Tin</v>
      </c>
      <c r="C41" s="170" t="str">
        <f ca="1">IF(LEN(A41)=0,"",INDEX('Smelter Look-up'!$C:$C,MATCH($A41,'Smelter Look-up'!$E:$E,0)))</f>
        <v>Rui Da Hung</v>
      </c>
      <c r="D41" s="213"/>
      <c r="E41" s="166" t="str">
        <f ca="1">IF(ISERROR($V41),"",OFFSET('Smelter Look-up'!$D$4,$V41-4,0)&amp;"")</f>
        <v>TAIWAN, PROVINCE OF CHINA</v>
      </c>
      <c r="F41" s="166" t="str">
        <f ca="1">IF(ISERROR($V41),"",OFFSET('Smelter Look-up'!$E$4,$V41-4,0))</f>
        <v>CID001539</v>
      </c>
      <c r="G41" s="166" t="str">
        <f ca="1">IF(C41=$X$4,IF(ISERROR($V41),"Enter smelter details","RMI"),IF(ISERROR($V41),"",OFFSET('Smelter Look-up'!$F$4,$V41-4,0)))</f>
        <v>RMI</v>
      </c>
      <c r="H41" s="167">
        <f ca="1">IF(ISERROR($V41),"",OFFSET('Smelter Look-up'!$G$4,$V41-4,0))</f>
        <v>0</v>
      </c>
      <c r="I41" s="168" t="str">
        <f ca="1">IF(ISERROR($V41),"",OFFSET('Smelter Look-up'!$H$4,$V41-4,0))</f>
        <v>Longtan Shiang Taoyuan</v>
      </c>
      <c r="J41" s="168" t="str">
        <f ca="1">IF(ISERROR($V41),"",OFFSET('Smelter Look-up'!$I$4,$V41-4,0))</f>
        <v>Taoyuan</v>
      </c>
      <c r="K41" s="207"/>
      <c r="L41" s="207"/>
      <c r="M41" s="207"/>
      <c r="N41" s="207"/>
      <c r="O41" s="207"/>
      <c r="P41" s="169"/>
      <c r="Q41" s="208"/>
      <c r="R41" s="166" t="str">
        <f ca="1">IF(ISERROR($V41),"",OFFSET('Smelter Look-up'!$C$4,$V41-4,0)&amp;"")</f>
        <v>Rui Da Hung</v>
      </c>
      <c r="S41" s="165" t="str">
        <f t="shared" ca="1" si="5"/>
        <v>TW</v>
      </c>
      <c r="T41" s="165" t="str">
        <f ca="1">IF(B41="","",IF(ISERROR(MATCH($J41,SorP!$B$1:$B$6261,0)),"",INDIRECT("'SorP'!$A$"&amp;MATCH($S41&amp;$J41,SorP!C:C,0))))</f>
        <v>TW-TAO</v>
      </c>
      <c r="U41" s="185"/>
      <c r="V41" s="209">
        <f ca="1">IF(C41="",NA(),IF(OR(C41="Smelter not listed",C41="Smelter not yet identified"),MATCH($B41&amp;$D41,'Smelter Look-up'!$J:$J,0),MATCH($B41&amp;$C41,'Smelter Look-up'!$J:$J,0)))</f>
        <v>537</v>
      </c>
      <c r="X41" s="210">
        <f t="shared" ca="1" si="6"/>
        <v>0</v>
      </c>
      <c r="AB41" s="211" t="str">
        <f t="shared" ca="1" si="7"/>
        <v>TinRui Da Hung</v>
      </c>
    </row>
    <row r="42" spans="1:28" s="210" customFormat="1" ht="25.5">
      <c r="A42" s="165" t="s">
        <v>756</v>
      </c>
      <c r="B42" s="166" t="str">
        <f ca="1">IF(LEN(A42)=0,"",INDEX('Smelter Look-up'!$A:$A,MATCH($A42,'Smelter Look-up'!$E:$E,0)))</f>
        <v>Tin</v>
      </c>
      <c r="C42" s="170" t="str">
        <f ca="1">IF(LEN(A42)=0,"",INDEX('Smelter Look-up'!$C:$C,MATCH($A42,'Smelter Look-up'!$E:$E,0)))</f>
        <v>Tin Smelting Branch of Yunnan Tin Co., Ltd.</v>
      </c>
      <c r="D42" s="213"/>
      <c r="E42" s="166" t="str">
        <f ca="1">IF(ISERROR($V42),"",OFFSET('Smelter Look-up'!$D$4,$V42-4,0)&amp;"")</f>
        <v>CHINA</v>
      </c>
      <c r="F42" s="166" t="str">
        <f ca="1">IF(ISERROR($V42),"",OFFSET('Smelter Look-up'!$E$4,$V42-4,0))</f>
        <v>CID002180</v>
      </c>
      <c r="G42" s="166" t="str">
        <f ca="1">IF(C42=$X$4,IF(ISERROR($V42),"Enter smelter details","RMI"),IF(ISERROR($V42),"",OFFSET('Smelter Look-up'!$F$4,$V42-4,0)))</f>
        <v>RMI</v>
      </c>
      <c r="H42" s="167">
        <f ca="1">IF(ISERROR($V42),"",OFFSET('Smelter Look-up'!$G$4,$V42-4,0))</f>
        <v>0</v>
      </c>
      <c r="I42" s="168" t="str">
        <f ca="1">IF(ISERROR($V42),"",OFFSET('Smelter Look-up'!$H$4,$V42-4,0))</f>
        <v>Gejiu</v>
      </c>
      <c r="J42" s="168" t="str">
        <f ca="1">IF(ISERROR($V42),"",OFFSET('Smelter Look-up'!$I$4,$V42-4,0))</f>
        <v>Yunnan Sheng</v>
      </c>
      <c r="K42" s="207"/>
      <c r="L42" s="207"/>
      <c r="M42" s="207"/>
      <c r="N42" s="207"/>
      <c r="O42" s="207"/>
      <c r="P42" s="169"/>
      <c r="Q42" s="208"/>
      <c r="R42" s="166" t="str">
        <f ca="1">IF(ISERROR($V42),"",OFFSET('Smelter Look-up'!$C$4,$V42-4,0)&amp;"")</f>
        <v>Tin Smelting Branch of Yunnan Tin Co., Ltd.</v>
      </c>
      <c r="S42" s="165" t="str">
        <f t="shared" ca="1" si="5"/>
        <v>CN</v>
      </c>
      <c r="T42" s="165" t="str">
        <f ca="1">IF(B42="","",IF(ISERROR(MATCH($J42,SorP!$B$1:$B$6261,0)),"",INDIRECT("'SorP'!$A$"&amp;MATCH($S42&amp;$J42,SorP!C:C,0))))</f>
        <v>CN-YN</v>
      </c>
      <c r="U42" s="185"/>
      <c r="V42" s="209">
        <f ca="1">IF(C42="",NA(),IF(OR(C42="Smelter not listed",C42="Smelter not yet identified"),MATCH($B42&amp;$D42,'Smelter Look-up'!$J:$J,0),MATCH($B42&amp;$C42,'Smelter Look-up'!$J:$J,0)))</f>
        <v>546</v>
      </c>
      <c r="X42" s="210">
        <f t="shared" ca="1" si="6"/>
        <v>0</v>
      </c>
      <c r="AB42" s="211" t="str">
        <f t="shared" ca="1" si="7"/>
        <v>TinTin Smelting Branch of Yunnan Tin Co., Ltd.</v>
      </c>
    </row>
    <row r="43" spans="1:28" s="210" customFormat="1" ht="89.25">
      <c r="A43" s="165" t="s">
        <v>717</v>
      </c>
      <c r="B43" s="166" t="str">
        <f ca="1">IF(LEN(A43)=0,"",INDEX('Smelter Look-up'!$A:$A,MATCH($A43,'Smelter Look-up'!$E:$E,0)))</f>
        <v>Gold</v>
      </c>
      <c r="C43" s="170" t="str">
        <f ca="1">IF(LEN(A43)=0,"",INDEX('Smelter Look-up'!$C:$C,MATCH($A43,'Smelter Look-up'!$E:$E,0)))</f>
        <v>Zhongyuan Gold Smelter of Zhongjin Gold Corporation</v>
      </c>
      <c r="D43" s="213"/>
      <c r="E43" s="166" t="str">
        <f ca="1">IF(ISERROR($V43),"",OFFSET('Smelter Look-up'!$D$4,$V43-4,0)&amp;"")</f>
        <v>CHINA</v>
      </c>
      <c r="F43" s="166" t="str">
        <f ca="1">IF(ISERROR($V43),"",OFFSET('Smelter Look-up'!$E$4,$V43-4,0))</f>
        <v>CID002224</v>
      </c>
      <c r="G43" s="166" t="str">
        <f ca="1">IF(C43=$X$4,IF(ISERROR($V43),"Enter smelter details","RMI"),IF(ISERROR($V43),"",OFFSET('Smelter Look-up'!$F$4,$V43-4,0)))</f>
        <v>RMI</v>
      </c>
      <c r="H43" s="167">
        <f ca="1">IF(ISERROR($V43),"",OFFSET('Smelter Look-up'!$G$4,$V43-4,0))</f>
        <v>0</v>
      </c>
      <c r="I43" s="168" t="str">
        <f ca="1">IF(ISERROR($V43),"",OFFSET('Smelter Look-up'!$H$4,$V43-4,0))</f>
        <v>Sanmenxia</v>
      </c>
      <c r="J43" s="168" t="str">
        <f ca="1">IF(ISERROR($V43),"",OFFSET('Smelter Look-up'!$I$4,$V43-4,0))</f>
        <v>Henan Sheng</v>
      </c>
      <c r="K43" s="207"/>
      <c r="L43" s="207"/>
      <c r="M43" s="207"/>
      <c r="N43" s="207"/>
      <c r="O43" s="207"/>
      <c r="P43" s="169"/>
      <c r="Q43" s="208"/>
      <c r="R43" s="166" t="str">
        <f ca="1">IF(ISERROR($V43),"",OFFSET('Smelter Look-up'!$C$4,$V43-4,0)&amp;"")</f>
        <v>Zhongyuan Gold Smelter of Zhongjin Gold Corporation</v>
      </c>
      <c r="S43" s="165" t="str">
        <f t="shared" ca="1" si="5"/>
        <v>CN</v>
      </c>
      <c r="T43" s="165" t="str">
        <f ca="1">IF(B43="","",IF(ISERROR(MATCH($J43,SorP!$B$1:$B$6261,0)),"",INDIRECT("'SorP'!$A$"&amp;MATCH($S43&amp;$J43,SorP!C:C,0))))</f>
        <v>CN-HA</v>
      </c>
      <c r="U43" s="185"/>
      <c r="V43" s="209">
        <f ca="1">IF(C43="",NA(),IF(OR(C43="Smelter not listed",C43="Smelter not yet identified"),MATCH($B43&amp;$D43,'Smelter Look-up'!$J:$J,0),MATCH($B43&amp;$C43,'Smelter Look-up'!$J:$J,0)))</f>
        <v>344</v>
      </c>
      <c r="X43" s="210">
        <f t="shared" ca="1" si="6"/>
        <v>0</v>
      </c>
      <c r="AB43" s="211" t="str">
        <f t="shared" ca="1" si="7"/>
        <v>GoldZhongyuan Gold Smelter of Zhongjin Gold Corporation</v>
      </c>
    </row>
    <row r="44" spans="1:28" s="210" customFormat="1" ht="114.7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54D02E14-2360-4679-806A-28D7D8FFDE16}"/>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D1" sqref="D1"/>
    </sheetView>
  </sheetViews>
  <sheetFormatPr baseColWidth="10"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Um sicherzustellen, dass alle erforderlichen Felder vor dem Versand an ihren Kunden ausgefüllt sind, alle rot markierten Felder beachten.</v>
      </c>
      <c r="B1" s="393"/>
      <c r="C1" s="393"/>
      <c r="D1" s="116" t="str">
        <f ca="1">OFFSET(L!$C$1,MATCH("Checker"&amp;ADDRESS(ROW(),COLUMN(),4),L!$A:$A,0)-1,SL,,)</f>
        <v>Erforderliche Felder bitte vervollständigen.</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Erforderliche Felder</v>
      </c>
      <c r="B3" s="65" t="str">
        <f ca="1">OFFSET(L!$C$1,MATCH("Checker"&amp;ADDRESS(ROW(),COLUMN(),4),L!$A:$A,0)-1,SL,,)</f>
        <v>Antwort ist vorhanden</v>
      </c>
      <c r="C3" s="65" t="str">
        <f ca="1">OFFSET(L!$C$1,MATCH("Checker"&amp;ADDRESS(ROW(),COLUMN(),4),L!$A:$A,0)-1,SL,,)</f>
        <v>Notizen</v>
      </c>
      <c r="D3" s="65" t="str">
        <f ca="1">OFFSET(L!$C$1,MATCH("Checker"&amp;ADDRESS(ROW(),COLUMN(),4),L!$A:$A,0)-1,SL,,)</f>
        <v>Hyperlink zum Ursprung</v>
      </c>
      <c r="F3" s="66" t="s">
        <v>510</v>
      </c>
      <c r="G3" s="18" t="s">
        <v>509</v>
      </c>
      <c r="H3" s="18" t="s">
        <v>511</v>
      </c>
      <c r="I3" s="18" t="s">
        <v>1271</v>
      </c>
      <c r="J3" s="18" t="s">
        <v>1272</v>
      </c>
    </row>
    <row r="4" spans="1:10" ht="39">
      <c r="A4" s="87" t="str">
        <f ca="1">Declaration!B8</f>
        <v>Firmenname (*):</v>
      </c>
      <c r="B4" s="86" t="str">
        <f>Declaration!D8</f>
        <v>Leiton GmbH</v>
      </c>
      <c r="C4" s="86" t="str">
        <f t="shared" ref="C4" ca="1" si="0">IF(H4=1,J4,I4)</f>
        <v>Vollständig</v>
      </c>
      <c r="D4" s="92" t="str">
        <f>IF(H4=1,"Click here to enter Company Name","")</f>
        <v/>
      </c>
      <c r="E4" s="19" t="s">
        <v>1261</v>
      </c>
      <c r="F4" s="90">
        <v>1</v>
      </c>
      <c r="G4" s="67">
        <f t="shared" ref="G4" si="1">IF(B4=0,1,0)</f>
        <v>0</v>
      </c>
      <c r="H4" s="68">
        <f>F4*G4</f>
        <v>0</v>
      </c>
      <c r="I4" s="142" t="str">
        <f ca="1">OFFSET(L!$C$1,MATCH("Checker"&amp;"Comp",L!$A:$A,0)-1,SL,,)</f>
        <v>Vollständig</v>
      </c>
      <c r="J4" s="143" t="str">
        <f ca="1">OFFSET(L!$C$1,MATCH("Checker"&amp;ADDRESS(ROW(),COLUMN(),4),L!$A:$A,0)-1,SL,,)</f>
        <v>Geben Sie den Namen Ihres Unternehmens in der Reiterzelle D8 der Erklärung an</v>
      </c>
    </row>
    <row r="5" spans="1:10" ht="39">
      <c r="A5" s="87" t="str">
        <f ca="1">Declaration!B9</f>
        <v>Geltungsbereich der Erklärung (*):</v>
      </c>
      <c r="B5" s="86" t="str">
        <f>Declaration!D9</f>
        <v>A. Company</v>
      </c>
      <c r="C5" s="86" t="str">
        <f ca="1">IF(H5=1,J5,I5)</f>
        <v>Vollständig</v>
      </c>
      <c r="D5" s="92" t="str">
        <f>IF(H5=1,"Click here to enter Declaration Scope","")</f>
        <v/>
      </c>
      <c r="E5" s="19" t="s">
        <v>1261</v>
      </c>
      <c r="F5" s="90">
        <v>1</v>
      </c>
      <c r="G5" s="67">
        <f>IF(B5=0,1,0)</f>
        <v>0</v>
      </c>
      <c r="H5" s="68">
        <f t="shared" ref="H5" si="2">F5*G5</f>
        <v>0</v>
      </c>
      <c r="I5" s="142" t="str">
        <f ca="1">OFFSET(L!$C$1,MATCH("Checker"&amp;"Comp",L!$A:$A,0)-1,SL,,)</f>
        <v>Vollständig</v>
      </c>
      <c r="J5" s="143" t="str">
        <f ca="1">OFFSET(L!$C$1,MATCH("Checker"&amp;ADDRESS(ROW(),COLUMN(),4),L!$A:$A,0)-1,SL,,)</f>
        <v>Wählen Sie den Umfang der Erklärung in der Reiterzelle D9 der Erklärung aus</v>
      </c>
    </row>
    <row r="6" spans="1:10" ht="39">
      <c r="A6" s="87" t="str">
        <f ca="1">Declaration!B10</f>
        <v>Beschreibung des Geltungsbereichs</v>
      </c>
      <c r="B6" s="86">
        <f>Declaration!D10</f>
        <v>0</v>
      </c>
      <c r="C6" s="86" t="str">
        <f ca="1">IF(H6=1,J6,I6)</f>
        <v>Vollständig</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Vollständig</v>
      </c>
      <c r="J6" s="18" t="str">
        <f ca="1">OFFSET(L!$C$1,MATCH("Checker"&amp;ADDRESS(ROW(),COLUMN(),4),L!$A:$A,0)-1,SL,,)</f>
        <v>Geben Sie eine Beschreibung des Umfangs in der Reiterzelle D10 der Erklärung an</v>
      </c>
    </row>
    <row r="7" spans="1:10" ht="39">
      <c r="A7" s="87" t="str">
        <f ca="1">Declaration!B15</f>
        <v>Name des Ansprechpartners (*):</v>
      </c>
      <c r="B7" s="86" t="str">
        <f>Declaration!D15</f>
        <v>Marcus Knopp</v>
      </c>
      <c r="C7" s="86" t="str">
        <f ca="1">IF(H7=1,J7,I7)</f>
        <v>Vollständig</v>
      </c>
      <c r="D7" s="92" t="str">
        <f>IF(H7=1,"Click here to enter Contact Name","")</f>
        <v/>
      </c>
      <c r="E7" s="19" t="s">
        <v>1261</v>
      </c>
      <c r="F7" s="90">
        <v>1</v>
      </c>
      <c r="G7" s="67">
        <f>IF(B7=0,1,0)</f>
        <v>0</v>
      </c>
      <c r="H7" s="68">
        <f t="shared" si="3"/>
        <v>0</v>
      </c>
      <c r="I7" s="142" t="str">
        <f ca="1">OFFSET(L!$C$1,MATCH("Checker"&amp;"Comp",L!$A:$A,0)-1,SL,,)</f>
        <v>Vollständig</v>
      </c>
      <c r="J7" s="18" t="str">
        <f ca="1">OFFSET(L!$C$1,MATCH("Checker"&amp;ADDRESS(ROW(),COLUMN(),4),L!$A:$A,0)-1,SL,,)</f>
        <v>Geben Sie einen Kontaktnamen in der Reiterzelle D15 der Erklärung an</v>
      </c>
    </row>
    <row r="8" spans="1:10" ht="39">
      <c r="A8" s="87" t="str">
        <f ca="1">Declaration!B16</f>
        <v>E-Mail-Adresse des Ansprechpartners (*):</v>
      </c>
      <c r="B8" s="86" t="str">
        <f>Declaration!D16</f>
        <v>kontakt@leiton.de</v>
      </c>
      <c r="C8" s="86" t="str">
        <f ca="1">IF(H8=1,J8,I8)</f>
        <v>Vollständig</v>
      </c>
      <c r="D8" s="92" t="str">
        <f>IF(H8=1,"Click here to enter Email-Contact","")</f>
        <v/>
      </c>
      <c r="E8" s="19" t="s">
        <v>1261</v>
      </c>
      <c r="F8" s="90">
        <v>1</v>
      </c>
      <c r="G8" s="67">
        <f>IF(ISNUMBER(SEARCH("@",B8)),0,1)</f>
        <v>0</v>
      </c>
      <c r="H8" s="68">
        <f t="shared" si="3"/>
        <v>0</v>
      </c>
      <c r="I8" s="142" t="str">
        <f ca="1">OFFSET(L!$C$1,MATCH("Checker"&amp;"Comp",L!$A:$A,0)-1,SL,,)</f>
        <v>Vollständig</v>
      </c>
      <c r="J8" s="18" t="str">
        <f ca="1">OFFSET(L!$C$1,MATCH("Checker"&amp;ADDRESS(ROW(),COLUMN(),4),L!$A:$A,0)-1,SL,,)</f>
        <v>Geben Sie eine gültige Kontakt-E-Mail-Adresse in der Reiterzelle D16 der Erklärung an</v>
      </c>
    </row>
    <row r="9" spans="1:10" ht="39">
      <c r="A9" s="87" t="str">
        <f ca="1">Declaration!B17</f>
        <v>Telefonnummer des Ansprechpartners (*):</v>
      </c>
      <c r="B9" s="256" t="str">
        <f>Declaration!D17</f>
        <v>+49 030 7017349-0</v>
      </c>
      <c r="C9" s="86" t="str">
        <f ca="1">IF(H9=1,J9,I9)</f>
        <v>Vollständig</v>
      </c>
      <c r="D9" s="92" t="str">
        <f>IF(H9=1,"Click here to enter Phone-Contact","")</f>
        <v/>
      </c>
      <c r="E9" s="19" t="s">
        <v>1261</v>
      </c>
      <c r="F9" s="90">
        <v>1</v>
      </c>
      <c r="G9" s="67">
        <f>IF(B9=0,1,0)</f>
        <v>0</v>
      </c>
      <c r="H9" s="68">
        <f t="shared" si="3"/>
        <v>0</v>
      </c>
      <c r="I9" s="142" t="str">
        <f ca="1">OFFSET(L!$C$1,MATCH("Checker"&amp;"Comp",L!$A:$A,0)-1,SL,,)</f>
        <v>Vollständig</v>
      </c>
      <c r="J9" s="18" t="str">
        <f ca="1">OFFSET(L!$C$1,MATCH("Checker"&amp;ADDRESS(ROW(),COLUMN(),4),L!$A:$A,0)-1,SL,,)</f>
        <v>Geben Sie eine Kontakttelefonnummer in der Reiterzelle D17 der Erklärung an</v>
      </c>
    </row>
    <row r="10" spans="1:10" ht="39">
      <c r="A10" s="87" t="str">
        <f ca="1">Declaration!B18</f>
        <v>Bevollmächtigter (*):</v>
      </c>
      <c r="B10" s="86" t="str">
        <f>Declaration!D18</f>
        <v>Marcus Knopp</v>
      </c>
      <c r="C10" s="86" t="str">
        <f t="shared" ref="C10" ca="1" si="4">IF(H10=1,J10,I10)</f>
        <v>Vollständig</v>
      </c>
      <c r="D10" s="92" t="str">
        <f>IF(H10=1,"Click here to enter an Authorized Company Representative's name","")</f>
        <v/>
      </c>
      <c r="E10" s="19" t="s">
        <v>1261</v>
      </c>
      <c r="F10" s="90">
        <v>1</v>
      </c>
      <c r="G10" s="67">
        <f t="shared" ref="G10" si="5">IF(B10=0,1,0)</f>
        <v>0</v>
      </c>
      <c r="H10" s="68">
        <f t="shared" si="3"/>
        <v>0</v>
      </c>
      <c r="I10" s="142" t="str">
        <f ca="1">OFFSET(L!$C$1,MATCH("Checker"&amp;"Comp",L!$A:$A,0)-1,SL,,)</f>
        <v>Vollständig</v>
      </c>
      <c r="J10" s="18" t="str">
        <f ca="1">OFFSET(L!$C$1,MATCH("Checker"&amp;ADDRESS(ROW(),COLUMN(),4),L!$A:$A,0)-1,SL,,)</f>
        <v>Geben Sie den Kontaktnamen eines bevollmächtigten Unternehmensvertreters in der Reiterzelle D18 der Erklärung an</v>
      </c>
    </row>
    <row r="11" spans="1:10" ht="39">
      <c r="A11" s="87" t="str">
        <f ca="1">Declaration!B20</f>
        <v>E-Mail-Adresse des Bevollmächtigten (*):</v>
      </c>
      <c r="B11" s="86" t="str">
        <f>Declaration!D20</f>
        <v>kontakt@leiton.de</v>
      </c>
      <c r="C11" s="86" t="str">
        <f ca="1">IF(H11=1,J11,I11)</f>
        <v>Vollständig</v>
      </c>
      <c r="D11" s="92" t="str">
        <f>IF(H11=1,"Click here to enter Representative's email","")</f>
        <v/>
      </c>
      <c r="E11" s="19" t="s">
        <v>1261</v>
      </c>
      <c r="F11" s="90">
        <v>1</v>
      </c>
      <c r="G11" s="67">
        <f>IF(ISNUMBER(SEARCH("@",B11)),0,1)</f>
        <v>0</v>
      </c>
      <c r="H11" s="68">
        <f t="shared" si="3"/>
        <v>0</v>
      </c>
      <c r="I11" s="142" t="str">
        <f ca="1">OFFSET(L!$C$1,MATCH("Checker"&amp;"Comp",L!$A:$A,0)-1,SL,,)</f>
        <v>Vollständig</v>
      </c>
      <c r="J11" s="18" t="str">
        <f ca="1">OFFSET(L!$C$1,MATCH("Checker"&amp;ADDRESS(ROW(),COLUMN(),4),L!$A:$A,0)-1,SL,,)</f>
        <v>Geben Sie eine gültige E-Mail-Adresse eines bevollmächtigten Unternehmensvertreters in der Reiterzelle D20 der Erklärung an</v>
      </c>
    </row>
    <row r="12" spans="1:10" ht="39">
      <c r="A12" s="87" t="str">
        <f ca="1">Declaration!B22</f>
        <v>Datum (*):</v>
      </c>
      <c r="B12" s="88">
        <f>Declaration!D22</f>
        <v>46140</v>
      </c>
      <c r="C12" s="86" t="str">
        <f ca="1">IF(H12=1,J12,I12)</f>
        <v>Vollständig</v>
      </c>
      <c r="D12" s="92" t="str">
        <f>IF(H12=1,"Click here to enter Date of Completion","")</f>
        <v/>
      </c>
      <c r="E12" s="19" t="s">
        <v>1261</v>
      </c>
      <c r="F12" s="90">
        <v>1</v>
      </c>
      <c r="G12" s="67">
        <f>IF(B12=0,1,0)</f>
        <v>0</v>
      </c>
      <c r="H12" s="68">
        <f t="shared" si="3"/>
        <v>0</v>
      </c>
      <c r="I12" s="142" t="str">
        <f ca="1">OFFSET(L!$C$1,MATCH("Checker"&amp;"Comp",L!$A:$A,0)-1,SL,,)</f>
        <v>Vollständig</v>
      </c>
      <c r="J12" s="18" t="str">
        <f ca="1">OFFSET(L!$C$1,MATCH("Checker"&amp;ADDRESS(ROW(),COLUMN(),4),L!$A:$A,0)-1,SL,,)</f>
        <v>Geben Sie das Datum der Vervollständigung des Formulars in der Reiterzelle D22 der Erklärung an</v>
      </c>
    </row>
    <row r="13" spans="1:10" ht="63.75">
      <c r="A13" s="86" t="str">
        <f ca="1">Declaration!B25</f>
        <v>1) Wird absichtlich ein 3TG-Mineral im Herstellungsprozess verwendet oder in das/die Produkt(e) aufgenommen? (*)</v>
      </c>
      <c r="B13" s="89"/>
      <c r="C13" s="89"/>
      <c r="D13" s="93"/>
      <c r="E13" s="19" t="s">
        <v>773</v>
      </c>
      <c r="F13" s="90"/>
      <c r="H13" s="18">
        <f t="shared" si="3"/>
        <v>0</v>
      </c>
    </row>
    <row r="14" spans="1:10" ht="26.25">
      <c r="A14" s="87" t="str">
        <f ca="1">Declaration!B26</f>
        <v xml:space="preserve">Tantal  </v>
      </c>
      <c r="B14" s="86" t="str">
        <f>Declaration!D26</f>
        <v>No</v>
      </c>
      <c r="C14" s="86" t="str">
        <f ca="1">IF(H14=1,J14,I14)</f>
        <v>Vollständig</v>
      </c>
      <c r="D14" s="92" t="str">
        <f>IF(H14=1,"Click here to answer question 1 for Tantalum","")</f>
        <v/>
      </c>
      <c r="E14" s="19" t="s">
        <v>769</v>
      </c>
      <c r="F14" s="90">
        <v>1</v>
      </c>
      <c r="G14" s="67">
        <f>IF(B14=0,1,0)</f>
        <v>0</v>
      </c>
      <c r="H14" s="68">
        <f t="shared" si="3"/>
        <v>0</v>
      </c>
      <c r="I14" s="142" t="str">
        <f ca="1">OFFSET(L!$C$1,MATCH("Checker"&amp;"Comp",L!$A:$A,0)-1,SL,,)</f>
        <v>Vollständig</v>
      </c>
      <c r="J14" s="143" t="str">
        <f ca="1">OFFSET(L!$C$1,MATCH("Checker"&amp;ADDRESS(ROW(),COLUMN(),4),L!$A:$A,0)-1,SL,,)</f>
        <v>Erklären Sie in der Reiterzelle D26 der Erklärung, ob Tantalum Ihren Produkten absichtlich hinzugefügt wird</v>
      </c>
    </row>
    <row r="15" spans="1:10" ht="39">
      <c r="A15" s="87" t="str">
        <f ca="1">Declaration!B27</f>
        <v>Zinn  (*)</v>
      </c>
      <c r="B15" s="86" t="str">
        <f>Declaration!D27</f>
        <v>Yes</v>
      </c>
      <c r="C15" s="86" t="str">
        <f ca="1">IF(H15=1,J15,I15)</f>
        <v>Vollständig</v>
      </c>
      <c r="D15" s="92" t="str">
        <f>IF(H15=1,"Click here to answer question 1 for Tin","")</f>
        <v/>
      </c>
      <c r="E15" s="19" t="s">
        <v>770</v>
      </c>
      <c r="F15" s="90">
        <v>1</v>
      </c>
      <c r="G15" s="67">
        <f>IF(B15=0,1,0)</f>
        <v>0</v>
      </c>
      <c r="H15" s="68">
        <f t="shared" si="3"/>
        <v>0</v>
      </c>
      <c r="I15" s="142" t="str">
        <f ca="1">OFFSET(L!$C$1,MATCH("Checker"&amp;"Comp",L!$A:$A,0)-1,SL,,)</f>
        <v>Vollständig</v>
      </c>
      <c r="J15" s="143" t="str">
        <f ca="1">OFFSET(L!$C$1,MATCH("Checker"&amp;ADDRESS(ROW(),COLUMN(),4),L!$A:$A,0)-1,SL,,)</f>
        <v>Erklären Sie in der Reiterzelle D27 der Erklärung, ob Zinn Ihren Produkten absichtlich hinzugefügt wird</v>
      </c>
    </row>
    <row r="16" spans="1:10" ht="39">
      <c r="A16" s="87" t="str">
        <f ca="1">Declaration!B28</f>
        <v>Gold  (*)</v>
      </c>
      <c r="B16" s="86" t="str">
        <f>Declaration!D28</f>
        <v>Yes</v>
      </c>
      <c r="C16" s="86" t="str">
        <f ca="1">IF(H16=1,J16,I16)</f>
        <v>Vollständig</v>
      </c>
      <c r="D16" s="92" t="str">
        <f>IF(H16=1,"Click here to answer question 1 for Gold","")</f>
        <v/>
      </c>
      <c r="E16" s="19" t="s">
        <v>770</v>
      </c>
      <c r="F16" s="90">
        <v>1</v>
      </c>
      <c r="G16" s="67">
        <f>IF(B16=0,1,0)</f>
        <v>0</v>
      </c>
      <c r="H16" s="68">
        <f t="shared" si="3"/>
        <v>0</v>
      </c>
      <c r="I16" s="142" t="str">
        <f ca="1">OFFSET(L!$C$1,MATCH("Checker"&amp;"Comp",L!$A:$A,0)-1,SL,,)</f>
        <v>Vollständig</v>
      </c>
      <c r="J16" s="143" t="str">
        <f ca="1">OFFSET(L!$C$1,MATCH("Checker"&amp;ADDRESS(ROW(),COLUMN(),4),L!$A:$A,0)-1,SL,,)</f>
        <v>Erklären Sie in der Reiterzelle D28 der Erklärung, ob Gold Ihren Produkten absichtlich hinzugefügt wird</v>
      </c>
    </row>
    <row r="17" spans="1:10" ht="39">
      <c r="A17" s="87" t="str">
        <f ca="1">Declaration!B29</f>
        <v xml:space="preserve">Wolfram  </v>
      </c>
      <c r="B17" s="86" t="str">
        <f>Declaration!D29</f>
        <v>No</v>
      </c>
      <c r="C17" s="86" t="str">
        <f ca="1">IF(H17=1,J17,I17)</f>
        <v>Vollständig</v>
      </c>
      <c r="D17" s="92" t="str">
        <f>IF(H17=1,"Click here to answer question 1 for Tungsten","")</f>
        <v/>
      </c>
      <c r="E17" s="19" t="s">
        <v>770</v>
      </c>
      <c r="F17" s="90">
        <v>1</v>
      </c>
      <c r="G17" s="67">
        <f>IF(B17=0,1,0)</f>
        <v>0</v>
      </c>
      <c r="H17" s="68">
        <f t="shared" si="3"/>
        <v>0</v>
      </c>
      <c r="I17" s="142" t="str">
        <f ca="1">OFFSET(L!$C$1,MATCH("Checker"&amp;"Comp",L!$A:$A,0)-1,SL,,)</f>
        <v>Vollständig</v>
      </c>
      <c r="J17" s="143" t="str">
        <f ca="1">OFFSET(L!$C$1,MATCH("Checker"&amp;ADDRESS(ROW(),COLUMN(),4),L!$A:$A,0)-1,SL,,)</f>
        <v>Erklären Sie in der Reiterzelle D29 der Erklärung, ob Tungsten Ihren Produkten absichtlich hinzugefügt wird</v>
      </c>
    </row>
    <row r="18" spans="1:10" ht="51">
      <c r="A18" s="86" t="str">
        <f ca="1">Declaration!B31</f>
        <v>2) Liegen in dem/den Produkt(en) 3TG-Rückstände vor?  (*)</v>
      </c>
      <c r="B18" s="89"/>
      <c r="C18" s="89"/>
      <c r="D18" s="93"/>
      <c r="E18" s="19" t="s">
        <v>771</v>
      </c>
      <c r="F18" s="90"/>
      <c r="J18" s="143"/>
    </row>
    <row r="19" spans="1:10" ht="39">
      <c r="A19" s="87" t="str">
        <f ca="1">Declaration!B32</f>
        <v xml:space="preserve">Tantal  </v>
      </c>
      <c r="B19" s="86">
        <f>IF($B$14="Yes",Declaration!D32,0)</f>
        <v>0</v>
      </c>
      <c r="C19" s="86" t="str">
        <f ca="1">IF(H19=1,J19,I19)</f>
        <v>Vollständig</v>
      </c>
      <c r="D19" s="94" t="str">
        <f>IF(H19=1,"Click here to answer question 2 for Tantalum","")</f>
        <v/>
      </c>
      <c r="E19" s="19" t="s">
        <v>770</v>
      </c>
      <c r="F19" s="91">
        <f>IF(B$14="No",0,1)</f>
        <v>0</v>
      </c>
      <c r="G19" s="67">
        <f>IF(B19=0,1,0)</f>
        <v>1</v>
      </c>
      <c r="H19" s="68">
        <f>F19*G19</f>
        <v>0</v>
      </c>
      <c r="I19" s="142" t="str">
        <f ca="1">OFFSET(L!$C$1,MATCH("Checker"&amp;"Comp",L!$A:$A,0)-1,SL,,)</f>
        <v>Vollständig</v>
      </c>
      <c r="J19" s="143" t="str">
        <f ca="1">OFFSET(L!$C$1,MATCH("Checker"&amp;ADDRESS(ROW(),COLUMN(),4),L!$A:$A,0)-1,SL,,)</f>
        <v>Erklären Sie in der Reiterzelle D32 der Erklärung, ob Tantalum für die Herstellung Ihrer Produkte erforderlich ist und ob es in den angegebenen Endprodukten enthalten ist</v>
      </c>
    </row>
    <row r="20" spans="1:10" ht="39">
      <c r="A20" s="87" t="str">
        <f ca="1">Declaration!B33</f>
        <v>Zinn  (*)</v>
      </c>
      <c r="B20" s="86" t="str">
        <f>IF($B$15="Yes",Declaration!D33,0)</f>
        <v>Yes</v>
      </c>
      <c r="C20" s="86" t="str">
        <f ca="1">IF(H20=1,J20,I20)</f>
        <v>Vollständig</v>
      </c>
      <c r="D20" s="94" t="str">
        <f>IF(H20=1,"Click here to answer question 2 for Tin","")</f>
        <v/>
      </c>
      <c r="E20" s="19" t="s">
        <v>770</v>
      </c>
      <c r="F20" s="91">
        <f>IF(B$15="No",0,1)</f>
        <v>1</v>
      </c>
      <c r="G20" s="67">
        <f>IF(B20=0,1,0)</f>
        <v>0</v>
      </c>
      <c r="H20" s="68">
        <f>F20*G20</f>
        <v>0</v>
      </c>
      <c r="I20" s="142" t="str">
        <f ca="1">OFFSET(L!$C$1,MATCH("Checker"&amp;"Comp",L!$A:$A,0)-1,SL,,)</f>
        <v>Vollständig</v>
      </c>
      <c r="J20" s="143" t="str">
        <f ca="1">OFFSET(L!$C$1,MATCH("Checker"&amp;ADDRESS(ROW(),COLUMN(),4),L!$A:$A,0)-1,SL,,)</f>
        <v>Erklären Sie in der Reiterzelle D33 der Erklärung, ob Zinn für die Herstellung Ihrer Produkte erforderlich ist und ob es in den angegebenen Endprodukten enthalten ist</v>
      </c>
    </row>
    <row r="21" spans="1:10" ht="39">
      <c r="A21" s="87" t="str">
        <f ca="1">Declaration!B34</f>
        <v>Gold  (*)</v>
      </c>
      <c r="B21" s="86" t="str">
        <f>IF($B$16="Yes",Declaration!D34,0)</f>
        <v>Yes</v>
      </c>
      <c r="C21" s="86" t="str">
        <f ca="1">IF(H21=1,J21,I21)</f>
        <v>Vollständig</v>
      </c>
      <c r="D21" s="94" t="str">
        <f>IF(H21=1,"Click here to answer question 2 for Gold","")</f>
        <v/>
      </c>
      <c r="E21" s="19" t="s">
        <v>770</v>
      </c>
      <c r="F21" s="91">
        <f>IF(B$16="No",0,1)</f>
        <v>1</v>
      </c>
      <c r="G21" s="67">
        <f>IF(B21=0,1,0)</f>
        <v>0</v>
      </c>
      <c r="H21" s="68">
        <f>F21*G21</f>
        <v>0</v>
      </c>
      <c r="I21" s="142" t="str">
        <f ca="1">OFFSET(L!$C$1,MATCH("Checker"&amp;"Comp",L!$A:$A,0)-1,SL,,)</f>
        <v>Vollständig</v>
      </c>
      <c r="J21" s="143" t="str">
        <f ca="1">OFFSET(L!$C$1,MATCH("Checker"&amp;ADDRESS(ROW(),COLUMN(),4),L!$A:$A,0)-1,SL,,)</f>
        <v>Erklären Sie in der Reiterzelle D34 der Erklärung, ob Gold für die Herstellung Ihrer Produkte erforderlich ist und ob es in den angegebenen Endprodukten enthalten ist</v>
      </c>
    </row>
    <row r="22" spans="1:10" ht="39">
      <c r="A22" s="87" t="str">
        <f ca="1">Declaration!B35</f>
        <v xml:space="preserve">Wolfram  </v>
      </c>
      <c r="B22" s="86">
        <f>IF($B$17="Yes",Declaration!D35,0)</f>
        <v>0</v>
      </c>
      <c r="C22" s="86" t="str">
        <f ca="1">IF(H22=1,J22,I22)</f>
        <v>Vollständig</v>
      </c>
      <c r="D22" s="94" t="str">
        <f>IF(H22=1,"Click here to answer question 2 for Tungsten","")</f>
        <v/>
      </c>
      <c r="E22" s="19" t="s">
        <v>770</v>
      </c>
      <c r="F22" s="91">
        <f>IF(B$17="No",0,1)</f>
        <v>0</v>
      </c>
      <c r="G22" s="67">
        <f>IF(B22=0,1,0)</f>
        <v>1</v>
      </c>
      <c r="H22" s="68">
        <f>F22*G22</f>
        <v>0</v>
      </c>
      <c r="I22" s="142" t="str">
        <f ca="1">OFFSET(L!$C$1,MATCH("Checker"&amp;"Comp",L!$A:$A,0)-1,SL,,)</f>
        <v>Vollständig</v>
      </c>
      <c r="J22" s="143" t="str">
        <f ca="1">OFFSET(L!$C$1,MATCH("Checker"&amp;ADDRESS(ROW(),COLUMN(),4),L!$A:$A,0)-1,SL,,)</f>
        <v>Erklären Sie in der Reiterzelle D35 der Erklärung, ob Tungsten für die Herstellung Ihrer Produkte erforderlich ist und ob es in den angegebenen Endprodukten enthalten ist</v>
      </c>
    </row>
    <row r="23" spans="1:10" ht="57.75" customHeight="1">
      <c r="A23" s="86" t="str">
        <f ca="1">Declaration!B37</f>
        <v>3) Beschaffen Schmelzhütten in Ihrer Lieferkette das 3TG-Mineral aus den umfassten Ländern? (SEC-Begriff, siehe Definitions-Tab) (*)</v>
      </c>
      <c r="B23" s="89"/>
      <c r="C23" s="89"/>
      <c r="D23" s="93"/>
      <c r="E23" s="19" t="s">
        <v>770</v>
      </c>
      <c r="F23" s="90"/>
      <c r="J23" s="143"/>
    </row>
    <row r="24" spans="1:10" ht="39">
      <c r="A24" s="87" t="str">
        <f ca="1">Declaration!B38</f>
        <v xml:space="preserve">Tantal  </v>
      </c>
      <c r="B24" s="86">
        <f>IF(AND($B$14="Yes",$B$19="Yes"),Declaration!D38,0)</f>
        <v>0</v>
      </c>
      <c r="C24" s="86" t="str">
        <f ca="1">IF(H24=1,J24,I24)</f>
        <v>Vollständig</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Vollständig</v>
      </c>
      <c r="J24" s="18" t="str">
        <f ca="1">OFFSET(L!$C$1,MATCH("Checker"&amp;ADDRESS(ROW(),COLUMN(),4),L!$A:$A,0)-1,SL,,)</f>
        <v>Erklären Sie in der Reiterzelle D38 der Erklärung, ob innerhalb des Umfangs der in dieser Umfrage angegebenen Produkte verwendetes Tantalum aus der Demokratischen Republik Kongo oder einem benachbarten Land stammt</v>
      </c>
    </row>
    <row r="25" spans="1:10" ht="39">
      <c r="A25" s="87" t="str">
        <f ca="1">Declaration!B39</f>
        <v>Zinn  (*)</v>
      </c>
      <c r="B25" s="86" t="str">
        <f>IF(AND($B$15="Yes",$B$20="Yes"),Declaration!D39,0)</f>
        <v>No</v>
      </c>
      <c r="C25" s="86" t="str">
        <f ca="1">IF(H25=1,J25,I25)</f>
        <v>Vollständig</v>
      </c>
      <c r="D25" s="94" t="str">
        <f>IF(H25=1,"Click here to answer question 3 for Tin","")</f>
        <v/>
      </c>
      <c r="E25" s="19" t="s">
        <v>770</v>
      </c>
      <c r="F25" s="91">
        <f>IF(OR(B15="No",B20="No"),0,1)</f>
        <v>1</v>
      </c>
      <c r="G25" s="67">
        <f>IF(B25=0,1,0)</f>
        <v>0</v>
      </c>
      <c r="H25" s="68">
        <f>F25*G25</f>
        <v>0</v>
      </c>
      <c r="I25" s="142" t="str">
        <f ca="1">OFFSET(L!$C$1,MATCH("Checker"&amp;"Comp",L!$A:$A,0)-1,SL,,)</f>
        <v>Vollständig</v>
      </c>
      <c r="J25" s="18" t="str">
        <f ca="1">OFFSET(L!$C$1,MATCH("Checker"&amp;ADDRESS(ROW(),COLUMN(),4),L!$A:$A,0)-1,SL,,)</f>
        <v>Erklären Sie in der Reiterzelle D39 der Erklärung, ob innerhalb des Umfangs der in dieser Umfrage angegebenen Produkte verwendetes Zinn aus der Demokratischen Republik Kongo oder einem benachbarten Land stammt</v>
      </c>
    </row>
    <row r="26" spans="1:10" ht="39">
      <c r="A26" s="87" t="str">
        <f ca="1">Declaration!B40</f>
        <v>Gold  (*)</v>
      </c>
      <c r="B26" s="86" t="str">
        <f>IF(AND($B$16="Yes",$B$21="Yes"),Declaration!D40,0)</f>
        <v>No</v>
      </c>
      <c r="C26" s="86" t="str">
        <f ca="1">IF(H26=1,J26,I26)</f>
        <v>Vollständig</v>
      </c>
      <c r="D26" s="94" t="str">
        <f>IF(H26=1,"Click here to answer question 3 for Gold","")</f>
        <v/>
      </c>
      <c r="E26" s="19" t="s">
        <v>770</v>
      </c>
      <c r="F26" s="91">
        <f>IF(OR(B16="No",B21="No"),0,1)</f>
        <v>1</v>
      </c>
      <c r="G26" s="67">
        <f>IF(B26=0,1,0)</f>
        <v>0</v>
      </c>
      <c r="H26" s="68">
        <f>F26*G26</f>
        <v>0</v>
      </c>
      <c r="I26" s="142" t="str">
        <f ca="1">OFFSET(L!$C$1,MATCH("Checker"&amp;"Comp",L!$A:$A,0)-1,SL,,)</f>
        <v>Vollständig</v>
      </c>
      <c r="J26" s="18" t="str">
        <f ca="1">OFFSET(L!$C$1,MATCH("Checker"&amp;ADDRESS(ROW(),COLUMN(),4),L!$A:$A,0)-1,SL,,)</f>
        <v>Erklären Sie in der Reiterzelle D40 der Erklärung, ob innerhalb des Umfangs der in dieser Umfrage angegebenen Produkte verwendetes Gold aus der Demokratischen Republik Kongo oder einem benachbarten Land stammt</v>
      </c>
    </row>
    <row r="27" spans="1:10" ht="39">
      <c r="A27" s="87" t="str">
        <f ca="1">Declaration!B41</f>
        <v xml:space="preserve">Wolfram  </v>
      </c>
      <c r="B27" s="86">
        <f>IF(AND($B$17="Yes",$B$22="Yes"),Declaration!D41,0)</f>
        <v>0</v>
      </c>
      <c r="C27" s="86" t="str">
        <f ca="1">IF(H27=1,J27,I27)</f>
        <v>Vollständig</v>
      </c>
      <c r="D27" s="94" t="str">
        <f>IF(H27=1,"Click here to answer question 3 for Tungsten","")</f>
        <v/>
      </c>
      <c r="E27" s="19" t="s">
        <v>770</v>
      </c>
      <c r="F27" s="91">
        <f>IF(OR(B17="No",B22="No"),0,1)</f>
        <v>0</v>
      </c>
      <c r="G27" s="67">
        <f>IF(B27=0,1,0)</f>
        <v>1</v>
      </c>
      <c r="H27" s="68">
        <f>F27*G27</f>
        <v>0</v>
      </c>
      <c r="I27" s="142" t="str">
        <f ca="1">OFFSET(L!$C$1,MATCH("Checker"&amp;"Comp",L!$A:$A,0)-1,SL,,)</f>
        <v>Vollständig</v>
      </c>
      <c r="J27" s="18" t="str">
        <f ca="1">OFFSET(L!$C$1,MATCH("Checker"&amp;ADDRESS(ROW(),COLUMN(),4),L!$A:$A,0)-1,SL,,)</f>
        <v>Erklären Sie in der Reiterzelle D41 der Erklärung, ob innerhalb des Umfangs der in dieser Umfrage angegebenen Produkte verwendetes Tungsten aus der Demokratischen Republik Kongo oder einem benachbarten Land stammt</v>
      </c>
    </row>
    <row r="28" spans="1:10" ht="39.6" customHeight="1">
      <c r="A28" s="86" t="str">
        <f ca="1">Declaration!B43</f>
        <v>4) Beziehen Schmelzhütten in Ihrer Lieferkette ihre 3TG aus von Konflikten betroffenen und risikoreichen Gebieten? (*)</v>
      </c>
      <c r="B28" s="86"/>
      <c r="C28" s="86"/>
      <c r="D28" s="94"/>
      <c r="E28" s="19"/>
      <c r="F28" s="19"/>
      <c r="G28" s="19"/>
      <c r="I28" s="142"/>
    </row>
    <row r="29" spans="1:10" ht="41.1" customHeight="1">
      <c r="A29" s="87" t="str">
        <f ca="1">Declaration!B44</f>
        <v xml:space="preserve">Tantal  </v>
      </c>
      <c r="B29" s="86">
        <f>IF(AND($B$14="Yes",$B$19="Yes"),Declaration!D44,0)</f>
        <v>0</v>
      </c>
      <c r="C29" s="86" t="str">
        <f ca="1">IF(H29=1,J29,I29)</f>
        <v>Vollständig</v>
      </c>
      <c r="D29" s="243" t="str">
        <f>IF(H29=1,"Click here to answer question 4 for Tantalum","")</f>
        <v/>
      </c>
      <c r="E29" s="19"/>
      <c r="F29" s="91">
        <f>F24</f>
        <v>0</v>
      </c>
      <c r="G29" s="67">
        <f t="shared" ref="G29" si="8">IF(B29=0,1,0)</f>
        <v>1</v>
      </c>
      <c r="H29" s="68">
        <f t="shared" ref="H29" si="9">F29*G29</f>
        <v>0</v>
      </c>
      <c r="I29" s="142" t="str">
        <f ca="1">OFFSET(L!$C$1,MATCH("Checker"&amp;"Comp",L!$A:$A,0)-1,SL,,)</f>
        <v>Vollständig</v>
      </c>
      <c r="J29" s="18" t="str">
        <f ca="1">OFFSET(L!$C$1,MATCH("Checker"&amp;ADDRESS(ROW(),COLUMN(),4),L!$A:$A,0)-1,SL,,)</f>
        <v>Geben Sie in Zelle D44 der Erklärung, ob innerhalb des Umfangs der in dieser Umfrage angegebenen Produkte verwendetes Tantal aus einem konfliktbetroffenen und risikoreichen Gebiet stammt</v>
      </c>
    </row>
    <row r="30" spans="1:10" ht="41.1" customHeight="1">
      <c r="A30" s="87" t="str">
        <f ca="1">Declaration!B45</f>
        <v>Zinn  (*)</v>
      </c>
      <c r="B30" s="86" t="str">
        <f>IF(AND($B$15="Yes",$B$20="Yes"),Declaration!D45,0)</f>
        <v>No</v>
      </c>
      <c r="C30" s="86" t="str">
        <f ca="1">IF(H30=1,J30,I30)</f>
        <v>Vollständig</v>
      </c>
      <c r="D30" s="243" t="str">
        <f>IF(H30=1,"Click here to answer question 4 for Tin","")</f>
        <v/>
      </c>
      <c r="E30" s="19"/>
      <c r="F30" s="91">
        <f>F25</f>
        <v>1</v>
      </c>
      <c r="G30" s="67">
        <f>IF(B30=0,1,0)</f>
        <v>0</v>
      </c>
      <c r="H30" s="68">
        <f>F30*G30</f>
        <v>0</v>
      </c>
      <c r="I30" s="142" t="str">
        <f ca="1">OFFSET(L!$C$1,MATCH("Checker"&amp;"Comp",L!$A:$A,0)-1,SL,,)</f>
        <v>Vollständig</v>
      </c>
      <c r="J30" s="18" t="str">
        <f ca="1">OFFSET(L!$C$1,MATCH("Checker"&amp;ADDRESS(ROW(),COLUMN(),4),L!$A:$A,0)-1,SL,,)</f>
        <v>Geben Sie in Zelle D45 der Erklärung an, ob innerhalb des Umfangs der in dieser Umfrage angegebenen Produkte verwendetes Zinn aus einem konfliktbetroffenen und risikoreichen Gebiet stammt</v>
      </c>
    </row>
    <row r="31" spans="1:10" ht="41.1" customHeight="1">
      <c r="A31" s="87" t="str">
        <f ca="1">Declaration!B46</f>
        <v>Gold  (*)</v>
      </c>
      <c r="B31" s="86" t="str">
        <f>IF(AND($B$16="Yes",$B$21="Yes"),Declaration!D46,0)</f>
        <v>No</v>
      </c>
      <c r="C31" s="86" t="str">
        <f ca="1">IF(H31=1,J31,I31)</f>
        <v>Vollständig</v>
      </c>
      <c r="D31" s="243" t="str">
        <f>IF(H31=1,"Click here to answer question 4 for Gold","")</f>
        <v/>
      </c>
      <c r="E31" s="19"/>
      <c r="F31" s="91">
        <f>F26</f>
        <v>1</v>
      </c>
      <c r="G31" s="67">
        <f>IF(B31=0,1,0)</f>
        <v>0</v>
      </c>
      <c r="H31" s="68">
        <f>F31*G31</f>
        <v>0</v>
      </c>
      <c r="I31" s="142" t="str">
        <f ca="1">OFFSET(L!$C$1,MATCH("Checker"&amp;"Comp",L!$A:$A,0)-1,SL,,)</f>
        <v>Vollständig</v>
      </c>
      <c r="J31" s="18" t="str">
        <f ca="1">OFFSET(L!$C$1,MATCH("Checker"&amp;ADDRESS(ROW(),COLUMN(),4),L!$A:$A,0)-1,SL,,)</f>
        <v>Geben Sie in Zelle D46 der Erklärung an, ob innerhalb des Umfangs der in dieser Umfrage angegebenen Produkte verwendetes Gold aus einem konfliktbetroffenen und risikoreichen Gebiet stammt</v>
      </c>
    </row>
    <row r="32" spans="1:10" ht="41.1" customHeight="1">
      <c r="A32" s="87" t="str">
        <f ca="1">Declaration!B47</f>
        <v xml:space="preserve">Wolfram  </v>
      </c>
      <c r="B32" s="86">
        <f>IF(AND($B$17="Yes",$B$22="Yes"),Declaration!D47,0)</f>
        <v>0</v>
      </c>
      <c r="C32" s="86" t="str">
        <f ca="1">IF(H32=1,J32,I32)</f>
        <v>Vollständig</v>
      </c>
      <c r="D32" s="243" t="str">
        <f>IF(H32=1,"Click here to answer question 4 for Tungsten","")</f>
        <v/>
      </c>
      <c r="E32" s="19"/>
      <c r="F32" s="91">
        <f>F27</f>
        <v>0</v>
      </c>
      <c r="G32" s="67">
        <f>IF(B32=0,1,0)</f>
        <v>1</v>
      </c>
      <c r="H32" s="68">
        <f>F32*G32</f>
        <v>0</v>
      </c>
      <c r="I32" s="142" t="str">
        <f ca="1">OFFSET(L!$C$1,MATCH("Checker"&amp;"Comp",L!$A:$A,0)-1,SL,,)</f>
        <v>Vollständig</v>
      </c>
      <c r="J32" s="18" t="str">
        <f ca="1">OFFSET(L!$C$1,MATCH("Checker"&amp;ADDRESS(ROW(),COLUMN(),4),L!$A:$A,0)-1,SL,,)</f>
        <v>Geben Sie in Zelle D47 der Erklärung an, ob innerhalb des Umfangs der in dieser Umfrage angegebenen Produkte verwendetes Wolfram aus einem konfliktbetroffenen und risikoreichen Gebiet stammt</v>
      </c>
    </row>
    <row r="33" spans="1:10" ht="38.25">
      <c r="A33" s="86" t="str">
        <f ca="1">Declaration!B49</f>
        <v>5) Stammt das für die Funktionalität oder  Herstellung Ihrer Produkte benötigte 3TG-Mineral zu 100 % aus Recycling- oder Schrottquellen?  (*)</v>
      </c>
      <c r="B33" s="89"/>
      <c r="C33" s="89"/>
      <c r="D33" s="93"/>
      <c r="E33" s="19" t="s">
        <v>1261</v>
      </c>
      <c r="F33" s="90"/>
      <c r="J33" s="143"/>
    </row>
    <row r="34" spans="1:10" ht="39">
      <c r="A34" s="87" t="str">
        <f ca="1">Declaration!B50</f>
        <v xml:space="preserve">Tantal  </v>
      </c>
      <c r="B34" s="86">
        <f>IF(AND($B$14="Yes",$B$19="Yes"),Declaration!D50,0)</f>
        <v>0</v>
      </c>
      <c r="C34" s="86" t="str">
        <f ca="1">IF(H34=1,J34,I34)</f>
        <v>Vollständig</v>
      </c>
      <c r="D34" s="243" t="str">
        <f>IF(H34=1,"Click here to answer question 5 for Tantalum","")</f>
        <v/>
      </c>
      <c r="E34" s="19" t="s">
        <v>1261</v>
      </c>
      <c r="F34" s="91">
        <f>F24</f>
        <v>0</v>
      </c>
      <c r="G34" s="67">
        <f>IF(B34=0,1,0)</f>
        <v>1</v>
      </c>
      <c r="H34" s="68">
        <f>F34*G34</f>
        <v>0</v>
      </c>
      <c r="I34" s="142" t="str">
        <f ca="1">OFFSET(L!$C$1,MATCH("Checker"&amp;"Comp",L!$A:$A,0)-1,SL,,)</f>
        <v>Vollständig</v>
      </c>
      <c r="J34" s="143" t="str">
        <f ca="1">OFFSET(L!$C$1,MATCH("Checker"&amp;ADDRESS(ROW(),COLUMN(),4),L!$A:$A,0)-1,SL,,)</f>
        <v>Erklären Sie in der Reiterzelle D44 der Erklärung, ob innerhalb des Umfangs der in dieser Umfrage angegebenen Produkte verwendetes Tantalum vollständig aus Recycling oder Schrott stammt</v>
      </c>
    </row>
    <row r="35" spans="1:10" ht="39">
      <c r="A35" s="87" t="str">
        <f ca="1">Declaration!B51</f>
        <v>Zinn  (*)</v>
      </c>
      <c r="B35" s="86" t="str">
        <f>IF(AND($B$15="Yes",$B$20="Yes"),Declaration!D51,0)</f>
        <v>No</v>
      </c>
      <c r="C35" s="86" t="str">
        <f ca="1">IF(H35=1,J35,I35)</f>
        <v>Vollständig</v>
      </c>
      <c r="D35" s="243" t="str">
        <f>IF(H35=1,"Click here to answer question 5 for Tin","")</f>
        <v/>
      </c>
      <c r="E35" s="19" t="s">
        <v>1261</v>
      </c>
      <c r="F35" s="91">
        <f>F25</f>
        <v>1</v>
      </c>
      <c r="G35" s="67">
        <f>IF(B35=0,1,0)</f>
        <v>0</v>
      </c>
      <c r="H35" s="68">
        <f>F35*G35</f>
        <v>0</v>
      </c>
      <c r="I35" s="142" t="str">
        <f ca="1">OFFSET(L!$C$1,MATCH("Checker"&amp;"Comp",L!$A:$A,0)-1,SL,,)</f>
        <v>Vollständig</v>
      </c>
      <c r="J35" s="143" t="str">
        <f ca="1">OFFSET(L!$C$1,MATCH("Checker"&amp;ADDRESS(ROW(),COLUMN(),4),L!$A:$A,0)-1,SL,,)</f>
        <v>Erklären Sie in der Reiterzelle D45 der Erklärung, ob innerhalb des Umfangs der in dieser Umfrage angegebenen Produkte verwendetes Zinn vollständig aus Recycling oder Schrott stammt</v>
      </c>
    </row>
    <row r="36" spans="1:10" ht="39">
      <c r="A36" s="87" t="str">
        <f ca="1">Declaration!B52</f>
        <v>Gold  (*)</v>
      </c>
      <c r="B36" s="86" t="str">
        <f>IF(AND($B$16="Yes",$B$21="Yes"),Declaration!D52,0)</f>
        <v>No</v>
      </c>
      <c r="C36" s="86" t="str">
        <f ca="1">IF(H36=1,J36,I36)</f>
        <v>Vollständig</v>
      </c>
      <c r="D36" s="243" t="str">
        <f>IF(H36=1,"Click here to answer question 5 for Gold","")</f>
        <v/>
      </c>
      <c r="E36" s="19" t="s">
        <v>1261</v>
      </c>
      <c r="F36" s="91">
        <f>F26</f>
        <v>1</v>
      </c>
      <c r="G36" s="67">
        <f>IF(B36=0,1,0)</f>
        <v>0</v>
      </c>
      <c r="H36" s="68">
        <f>F36*G36</f>
        <v>0</v>
      </c>
      <c r="I36" s="142" t="str">
        <f ca="1">OFFSET(L!$C$1,MATCH("Checker"&amp;"Comp",L!$A:$A,0)-1,SL,,)</f>
        <v>Vollständig</v>
      </c>
      <c r="J36" s="143" t="str">
        <f ca="1">OFFSET(L!$C$1,MATCH("Checker"&amp;ADDRESS(ROW(),COLUMN(),4),L!$A:$A,0)-1,SL,,)</f>
        <v>Erklären Sie in der Reiterzelle D46 der Erklärung, ob innerhalb des Umfangs der in dieser Umfrage angegebenen Produkte verwendetes Gold vollständig aus Recycling oder Schrott stammt</v>
      </c>
    </row>
    <row r="37" spans="1:10" ht="39">
      <c r="A37" s="87" t="str">
        <f ca="1">Declaration!B53</f>
        <v xml:space="preserve">Wolfram  </v>
      </c>
      <c r="B37" s="86">
        <f>IF(AND($B$17="Yes",$B$22="Yes"),Declaration!D53,0)</f>
        <v>0</v>
      </c>
      <c r="C37" s="86" t="str">
        <f ca="1">IF(H37=1,J37,I37)</f>
        <v>Vollständig</v>
      </c>
      <c r="D37" s="243" t="str">
        <f>IF(H37=1,"Click here to answer question 5 for Tungsten","")</f>
        <v/>
      </c>
      <c r="E37" s="19" t="s">
        <v>1261</v>
      </c>
      <c r="F37" s="91">
        <f>F27</f>
        <v>0</v>
      </c>
      <c r="G37" s="67">
        <f>IF(B37=0,1,0)</f>
        <v>1</v>
      </c>
      <c r="H37" s="68">
        <f>F37*G37</f>
        <v>0</v>
      </c>
      <c r="I37" s="142" t="str">
        <f ca="1">OFFSET(L!$C$1,MATCH("Checker"&amp;"Comp",L!$A:$A,0)-1,SL,,)</f>
        <v>Vollständig</v>
      </c>
      <c r="J37" s="143" t="str">
        <f ca="1">OFFSET(L!$C$1,MATCH("Checker"&amp;ADDRESS(ROW(),COLUMN(),4),L!$A:$A,0)-1,SL,,)</f>
        <v>Erklären Sie in der Reiterzelle D47 der Erklärung, ob innerhalb des Umfangs der in dieser Umfrage angegebenen Produkte verwendetes Tungsten vollständig aus Recycling oder Schrott stammt</v>
      </c>
    </row>
    <row r="38" spans="1:10" ht="38.25">
      <c r="A38" s="86" t="str">
        <f ca="1">Declaration!B55</f>
        <v>6) Wie hoch ist der Prozentsatz an Lieferanten, die auf Ihre Lieferkettenumfrage geantwortet haben? (*)</v>
      </c>
      <c r="B38" s="89"/>
      <c r="C38" s="89"/>
      <c r="D38" s="93"/>
      <c r="E38" s="19" t="s">
        <v>770</v>
      </c>
      <c r="F38" s="90"/>
    </row>
    <row r="39" spans="1:10" ht="26.25">
      <c r="A39" s="87" t="str">
        <f ca="1">Declaration!B56</f>
        <v xml:space="preserve">Tantal  </v>
      </c>
      <c r="B39" s="251">
        <f>IF(AND($B$14="Yes",$B$19="Yes"),Declaration!D56,0)</f>
        <v>0</v>
      </c>
      <c r="C39" s="86" t="str">
        <f ca="1">IF(H39=1,J39,I39)</f>
        <v>Vollständig</v>
      </c>
      <c r="D39" s="244" t="str">
        <f>IF(H39=1,"Click here to answer question 6 for Tantalum","")</f>
        <v/>
      </c>
      <c r="E39" s="19" t="s">
        <v>769</v>
      </c>
      <c r="F39" s="91">
        <f>F24</f>
        <v>0</v>
      </c>
      <c r="G39" s="67">
        <f>IF(B39=0,1,0)</f>
        <v>1</v>
      </c>
      <c r="H39" s="68">
        <f>F39*G39</f>
        <v>0</v>
      </c>
      <c r="I39" s="142" t="str">
        <f ca="1">OFFSET(L!$C$1,MATCH("Checker"&amp;"Comp",L!$A:$A,0)-1,SL,,)</f>
        <v>Vollständig</v>
      </c>
      <c r="J39" s="18" t="str">
        <f ca="1">OFFSET(L!$C$1,MATCH("Checker"&amp;ADDRESS(ROW(),COLUMN(),4),L!$A:$A,0)-1,SL,,)</f>
        <v>Geben Sie den Vollständigkeitsgrad der Schmelzhütteninformationen des Anbieters in Prozent in der Reiterzelle D50 der Erklärung an</v>
      </c>
    </row>
    <row r="40" spans="1:10" ht="26.25">
      <c r="A40" s="87" t="str">
        <f ca="1">Declaration!B57</f>
        <v>Zinn  (*)</v>
      </c>
      <c r="B40" s="251" t="str">
        <f>IF(AND($B$15="Yes",$B$20="Yes"),Declaration!D57,0)</f>
        <v>100%</v>
      </c>
      <c r="C40" s="86" t="str">
        <f ca="1">IF(H40=1,J40,I40)</f>
        <v>Vollständig</v>
      </c>
      <c r="D40" s="244" t="str">
        <f>IF(H40=1,"Click here to answer question 6 for Tin","")</f>
        <v/>
      </c>
      <c r="E40" s="19" t="s">
        <v>769</v>
      </c>
      <c r="F40" s="91">
        <f>F25</f>
        <v>1</v>
      </c>
      <c r="G40" s="67">
        <f>IF(B40=0,1,0)</f>
        <v>0</v>
      </c>
      <c r="H40" s="68">
        <f>F40*G40</f>
        <v>0</v>
      </c>
      <c r="I40" s="142" t="str">
        <f ca="1">OFFSET(L!$C$1,MATCH("Checker"&amp;"Comp",L!$A:$A,0)-1,SL,,)</f>
        <v>Vollständig</v>
      </c>
      <c r="J40" s="18" t="str">
        <f ca="1">OFFSET(L!$C$1,MATCH("Checker"&amp;ADDRESS(ROW(),COLUMN(),4),L!$A:$A,0)-1,SL,,)</f>
        <v>Geben Sie den Vollständigkeitsgrad der Schmelzhütteninformationen des Anbieters in Prozent in der Reiterzelle D51 der Erklärung an</v>
      </c>
    </row>
    <row r="41" spans="1:10" ht="26.25">
      <c r="A41" s="87" t="str">
        <f ca="1">Declaration!B58</f>
        <v>Gold  (*)</v>
      </c>
      <c r="B41" s="251" t="str">
        <f>IF(AND($B$16="Yes",$B$21="Yes"),Declaration!D58,0)</f>
        <v>100%</v>
      </c>
      <c r="C41" s="86" t="str">
        <f ca="1">IF(H41=1,J41,I41)</f>
        <v>Vollständig</v>
      </c>
      <c r="D41" s="244" t="str">
        <f>IF(H41=1,"Click here to answer question 6 for Gold","")</f>
        <v/>
      </c>
      <c r="E41" s="19" t="s">
        <v>769</v>
      </c>
      <c r="F41" s="91">
        <f>F26</f>
        <v>1</v>
      </c>
      <c r="G41" s="67">
        <f>IF(B41=0,1,0)</f>
        <v>0</v>
      </c>
      <c r="H41" s="68">
        <f>F41*G41</f>
        <v>0</v>
      </c>
      <c r="I41" s="142" t="str">
        <f ca="1">OFFSET(L!$C$1,MATCH("Checker"&amp;"Comp",L!$A:$A,0)-1,SL,,)</f>
        <v>Vollständig</v>
      </c>
      <c r="J41" s="18" t="str">
        <f ca="1">OFFSET(L!$C$1,MATCH("Checker"&amp;ADDRESS(ROW(),COLUMN(),4),L!$A:$A,0)-1,SL,,)</f>
        <v>Geben Sie den Vollständigkeitsgrad der Schmelzhütteninformationen des Anbieters in Prozent in der Reiterzelle D52 der Erklärung an</v>
      </c>
    </row>
    <row r="42" spans="1:10" ht="26.25">
      <c r="A42" s="87" t="str">
        <f ca="1">Declaration!B59</f>
        <v xml:space="preserve">Wolfram  </v>
      </c>
      <c r="B42" s="251">
        <f>IF(AND($B$17="Yes",$B$22="Yes"),Declaration!D59,0)</f>
        <v>0</v>
      </c>
      <c r="C42" s="86" t="str">
        <f ca="1">IF(H42=1,J42,I42)</f>
        <v>Vollständig</v>
      </c>
      <c r="D42" s="244" t="str">
        <f>IF(H42=1,"Click here to answer question 6 for Tungsten","")</f>
        <v/>
      </c>
      <c r="E42" s="19" t="s">
        <v>769</v>
      </c>
      <c r="F42" s="91">
        <f>F27</f>
        <v>0</v>
      </c>
      <c r="G42" s="67">
        <f>IF(B42=0,1,0)</f>
        <v>1</v>
      </c>
      <c r="H42" s="68">
        <f>F42*G42</f>
        <v>0</v>
      </c>
      <c r="I42" s="142" t="str">
        <f ca="1">OFFSET(L!$C$1,MATCH("Checker"&amp;"Comp",L!$A:$A,0)-1,SL,,)</f>
        <v>Vollständig</v>
      </c>
      <c r="J42" s="18" t="str">
        <f ca="1">OFFSET(L!$C$1,MATCH("Checker"&amp;ADDRESS(ROW(),COLUMN(),4),L!$A:$A,0)-1,SL,,)</f>
        <v>Geben Sie den Vollständigkeitsgrad der Schmelzhütteninformationen des Anbieters in Prozent in der Reiterzelle D53 der Erklärung an</v>
      </c>
    </row>
    <row r="43" spans="1:10" ht="51">
      <c r="A43" s="86" t="str">
        <f ca="1">Declaration!B61</f>
        <v>7) Haben Sie alle Schmelzhütten ermittelt, die das 3TG-Mineral für Ihre Lieferkette bereitstellen?  (*)</v>
      </c>
      <c r="B43" s="89"/>
      <c r="C43" s="89"/>
      <c r="D43" s="93"/>
      <c r="E43" s="19" t="s">
        <v>771</v>
      </c>
      <c r="F43" s="90"/>
    </row>
    <row r="44" spans="1:10" ht="51.75">
      <c r="A44" s="87" t="str">
        <f ca="1">Declaration!B62</f>
        <v xml:space="preserve">Tantal  </v>
      </c>
      <c r="B44" s="86">
        <f>IF(AND($B$14="Yes",$B$19="Yes"),Declaration!D62,0)</f>
        <v>0</v>
      </c>
      <c r="C44" s="86" t="str">
        <f ca="1">IF(H44=1,J44,I44)</f>
        <v>Vollständig</v>
      </c>
      <c r="D44" s="243" t="str">
        <f>IF(H44=1,"Click here to answer question 7 for Tantalum","")</f>
        <v/>
      </c>
      <c r="E44" s="19" t="s">
        <v>1257</v>
      </c>
      <c r="F44" s="91">
        <f>F24</f>
        <v>0</v>
      </c>
      <c r="G44" s="67">
        <f>IF(B44=0,1,0)</f>
        <v>1</v>
      </c>
      <c r="H44" s="68">
        <f>F44*G44</f>
        <v>0</v>
      </c>
      <c r="I44" s="142" t="str">
        <f ca="1">OFFSET(L!$C$1,MATCH("Checker"&amp;"Comp",L!$A:$A,0)-1,SL,,)</f>
        <v>Vollständig</v>
      </c>
      <c r="J44" s="18" t="str">
        <f ca="1">OFFSET(L!$C$1,MATCH("Checker"&amp;ADDRESS(ROW(),COLUMN(),4),L!$A:$A,0)-1,SL,,)</f>
        <v xml:space="preserve">Geben Sie in der Reiterzelle D56 der Erklärung an, ob alle Schmelzhüttennamen in der Antwort auf diese Umfrage im Umfang der angegebenen Produkte zur Verfügung gestellt worden sind </v>
      </c>
    </row>
    <row r="45" spans="1:10" ht="51.75">
      <c r="A45" s="87" t="str">
        <f ca="1">Declaration!B63</f>
        <v>Zinn  (*)</v>
      </c>
      <c r="B45" s="86" t="str">
        <f>IF(AND($B$15="Yes",$B$20="Yes"),Declaration!D63,0)</f>
        <v>Yes</v>
      </c>
      <c r="C45" s="86" t="str">
        <f ca="1">IF(H45=1,J45,I45)</f>
        <v>Vollständig</v>
      </c>
      <c r="D45" s="243" t="str">
        <f>IF(H45=1,"Click here to answer question 7 for Tin","")</f>
        <v/>
      </c>
      <c r="E45" s="19" t="s">
        <v>1257</v>
      </c>
      <c r="F45" s="91">
        <f>F25</f>
        <v>1</v>
      </c>
      <c r="G45" s="67">
        <f>IF(B45=0,1,0)</f>
        <v>0</v>
      </c>
      <c r="H45" s="68">
        <f>F45*G45</f>
        <v>0</v>
      </c>
      <c r="I45" s="142" t="str">
        <f ca="1">OFFSET(L!$C$1,MATCH("Checker"&amp;"Comp",L!$A:$A,0)-1,SL,,)</f>
        <v>Vollständig</v>
      </c>
      <c r="J45" s="18" t="str">
        <f ca="1">OFFSET(L!$C$1,MATCH("Checker"&amp;ADDRESS(ROW(),COLUMN(),4),L!$A:$A,0)-1,SL,,)</f>
        <v xml:space="preserve">Geben Sie in der Reiterzelle D57 der Erklärung an, ob alle Schmelzhüttennamen in der Antwort auf diese Umfrage im Umfang der angegebenen Produkte zur Verfügung gestellt worden sind </v>
      </c>
    </row>
    <row r="46" spans="1:10" ht="51.75">
      <c r="A46" s="87" t="str">
        <f ca="1">Declaration!B64</f>
        <v>Gold  (*)</v>
      </c>
      <c r="B46" s="86" t="str">
        <f>IF(AND($B$16="Yes",$B$21="Yes"),Declaration!D64,0)</f>
        <v>Yes</v>
      </c>
      <c r="C46" s="86" t="str">
        <f ca="1">IF(H46=1,J46,I46)</f>
        <v>Vollständig</v>
      </c>
      <c r="D46" s="243" t="str">
        <f>IF(H46=1,"Click here to answer question 7 for Gold","")</f>
        <v/>
      </c>
      <c r="E46" s="19" t="s">
        <v>1257</v>
      </c>
      <c r="F46" s="91">
        <f>F26</f>
        <v>1</v>
      </c>
      <c r="G46" s="67">
        <f>IF(B46=0,1,0)</f>
        <v>0</v>
      </c>
      <c r="H46" s="68">
        <f>F46*G46</f>
        <v>0</v>
      </c>
      <c r="I46" s="142" t="str">
        <f ca="1">OFFSET(L!$C$1,MATCH("Checker"&amp;"Comp",L!$A:$A,0)-1,SL,,)</f>
        <v>Vollständig</v>
      </c>
      <c r="J46" s="18" t="str">
        <f ca="1">OFFSET(L!$C$1,MATCH("Checker"&amp;ADDRESS(ROW(),COLUMN(),4),L!$A:$A,0)-1,SL,,)</f>
        <v xml:space="preserve">Geben Sie in der Reiterzelle D58 der Erklärung an, ob alle Schmelzhüttennamen in der Antwort auf diese Umfrage im Umfang der angegebenen Produkte zur Verfügung gestellt worden sind </v>
      </c>
    </row>
    <row r="47" spans="1:10" ht="51.75">
      <c r="A47" s="87" t="str">
        <f ca="1">Declaration!B65</f>
        <v xml:space="preserve">Wolfram  </v>
      </c>
      <c r="B47" s="86">
        <f>IF(AND($B$17="Yes",$B$22="Yes"),Declaration!D65,0)</f>
        <v>0</v>
      </c>
      <c r="C47" s="86" t="str">
        <f ca="1">IF(H47=1,J47,I47)</f>
        <v>Vollständig</v>
      </c>
      <c r="D47" s="243" t="str">
        <f>IF(H47=1,"Click here to answer question 7 for Tungsten","")</f>
        <v/>
      </c>
      <c r="E47" s="19" t="s">
        <v>1257</v>
      </c>
      <c r="F47" s="91">
        <f>F27</f>
        <v>0</v>
      </c>
      <c r="G47" s="67">
        <f>IF(B47=0,1,0)</f>
        <v>1</v>
      </c>
      <c r="H47" s="68">
        <f>F47*G47</f>
        <v>0</v>
      </c>
      <c r="I47" s="142" t="str">
        <f ca="1">OFFSET(L!$C$1,MATCH("Checker"&amp;"Comp",L!$A:$A,0)-1,SL,,)</f>
        <v>Vollständig</v>
      </c>
      <c r="J47" s="18" t="str">
        <f ca="1">OFFSET(L!$C$1,MATCH("Checker"&amp;ADDRESS(ROW(),COLUMN(),4),L!$A:$A,0)-1,SL,,)</f>
        <v xml:space="preserve">Geben Sie in der Reiterzelle D59 der Erklärung an, ob alle Schmelzhüttennamen in der Antwort auf diese Umfrage im Umfang der angegebenen Produkte zur Verfügung gestellt worden sind  </v>
      </c>
    </row>
    <row r="48" spans="1:10" ht="63.75">
      <c r="A48" s="86" t="str">
        <f ca="1">Declaration!B67</f>
        <v>8) Haben Sie alle relevanten Informationen, die Ihr Unternehmen zu den Schmelzhütten erhalten hat, in dieser Erklärung aufgeführt?  (*)</v>
      </c>
      <c r="B48" s="89"/>
      <c r="C48" s="89"/>
      <c r="D48" s="93"/>
      <c r="E48" s="19" t="s">
        <v>772</v>
      </c>
      <c r="F48" s="90"/>
    </row>
    <row r="49" spans="1:10" ht="39">
      <c r="A49" s="87" t="str">
        <f ca="1">Declaration!B68</f>
        <v xml:space="preserve">Tantal  </v>
      </c>
      <c r="B49" s="86">
        <f>IF(AND($B$14="Yes",$B$19="Yes"),Declaration!D68,0)</f>
        <v>0</v>
      </c>
      <c r="C49" s="86" t="str">
        <f ca="1">IF(H49=1,J49,I49)</f>
        <v>Vollständig</v>
      </c>
      <c r="D49" s="244" t="str">
        <f>IF(H49=1,"Click here to answer question 8 for Tantalum","")</f>
        <v/>
      </c>
      <c r="E49" s="19" t="s">
        <v>770</v>
      </c>
      <c r="F49" s="91">
        <f>F24</f>
        <v>0</v>
      </c>
      <c r="G49" s="67">
        <f>IF(B49=0,1,0)</f>
        <v>1</v>
      </c>
      <c r="H49" s="68">
        <f>F49*G49</f>
        <v>0</v>
      </c>
      <c r="I49" s="142" t="str">
        <f ca="1">OFFSET(L!$C$1,MATCH("Checker"&amp;"Comp",L!$A:$A,0)-1,SL,,)</f>
        <v>Vollständig</v>
      </c>
      <c r="J49" s="18" t="str">
        <f ca="1">OFFSET(L!$C$1,MATCH("Checker"&amp;ADDRESS(ROW(),COLUMN(),4),L!$A:$A,0)-1,SL,,)</f>
        <v xml:space="preserve">Geben Sie in der Reiterzelle D62 der Erklärung an, ob alle Informationen über Tantalum-Schmelzhütten zur Verfügung gestellt worden sind </v>
      </c>
    </row>
    <row r="50" spans="1:10" ht="39">
      <c r="A50" s="87" t="str">
        <f ca="1">Declaration!B69</f>
        <v>Zinn  (*)</v>
      </c>
      <c r="B50" s="86" t="str">
        <f>IF(AND($B$15="Yes",$B$20="Yes"),Declaration!D69,0)</f>
        <v>Yes</v>
      </c>
      <c r="C50" s="86" t="str">
        <f ca="1">IF(H50=1,J50,I50)</f>
        <v>Vollständig</v>
      </c>
      <c r="D50" s="244" t="str">
        <f>IF(H50=1,"Click here to answer question 8 for Tin","")</f>
        <v/>
      </c>
      <c r="E50" s="19" t="s">
        <v>770</v>
      </c>
      <c r="F50" s="91">
        <f>F25</f>
        <v>1</v>
      </c>
      <c r="G50" s="67">
        <f>IF(B50=0,1,0)</f>
        <v>0</v>
      </c>
      <c r="H50" s="68">
        <f>F50*G50</f>
        <v>0</v>
      </c>
      <c r="I50" s="142" t="str">
        <f ca="1">OFFSET(L!$C$1,MATCH("Checker"&amp;"Comp",L!$A:$A,0)-1,SL,,)</f>
        <v>Vollständig</v>
      </c>
      <c r="J50" s="18" t="str">
        <f ca="1">OFFSET(L!$C$1,MATCH("Checker"&amp;ADDRESS(ROW(),COLUMN(),4),L!$A:$A,0)-1,SL,,)</f>
        <v xml:space="preserve">Geben Sie in der Reiterzelle D63 der Erklärung an, ob alle Informationen über Zinn-Schmelzhütten zur Verfügung gestellt worden sind </v>
      </c>
    </row>
    <row r="51" spans="1:10" ht="39">
      <c r="A51" s="87" t="str">
        <f ca="1">Declaration!B70</f>
        <v>Gold  (*)</v>
      </c>
      <c r="B51" s="86" t="str">
        <f>IF(AND($B$16="Yes",$B$21="Yes"),Declaration!D70,0)</f>
        <v>Yes</v>
      </c>
      <c r="C51" s="86" t="str">
        <f ca="1">IF(H51=1,J51,I51)</f>
        <v>Vollständig</v>
      </c>
      <c r="D51" s="244" t="str">
        <f>IF(H51=1,"Click here to answer question 8 for Gold","")</f>
        <v/>
      </c>
      <c r="E51" s="19" t="s">
        <v>770</v>
      </c>
      <c r="F51" s="91">
        <f>F26</f>
        <v>1</v>
      </c>
      <c r="G51" s="67">
        <f>IF(B51=0,1,0)</f>
        <v>0</v>
      </c>
      <c r="H51" s="68">
        <f>F51*G51</f>
        <v>0</v>
      </c>
      <c r="I51" s="142" t="str">
        <f ca="1">OFFSET(L!$C$1,MATCH("Checker"&amp;"Comp",L!$A:$A,0)-1,SL,,)</f>
        <v>Vollständig</v>
      </c>
      <c r="J51" s="18" t="str">
        <f ca="1">OFFSET(L!$C$1,MATCH("Checker"&amp;ADDRESS(ROW(),COLUMN(),4),L!$A:$A,0)-1,SL,,)</f>
        <v>Geben Sie in der Reiterzelle D64 der Erklärung an, ob alle Informationen über Gold-Schmelzhütten zur Verfügung gestellt worden sind</v>
      </c>
    </row>
    <row r="52" spans="1:10" ht="39">
      <c r="A52" s="87" t="str">
        <f ca="1">Declaration!B71</f>
        <v xml:space="preserve">Wolfram  </v>
      </c>
      <c r="B52" s="86">
        <f>IF(AND($B$17="Yes",$B$22="Yes"),Declaration!D71,0)</f>
        <v>0</v>
      </c>
      <c r="C52" s="86" t="str">
        <f ca="1">IF(H52=1,J52,I52)</f>
        <v>Vollständig</v>
      </c>
      <c r="D52" s="244" t="str">
        <f>IF(H52=1,"Click here to answer question 8 for Tungsten","")</f>
        <v/>
      </c>
      <c r="E52" s="19" t="s">
        <v>770</v>
      </c>
      <c r="F52" s="91">
        <f>F27</f>
        <v>0</v>
      </c>
      <c r="G52" s="67">
        <f>IF(B52=0,1,0)</f>
        <v>1</v>
      </c>
      <c r="H52" s="68">
        <f>F52*G52</f>
        <v>0</v>
      </c>
      <c r="I52" s="142" t="str">
        <f ca="1">OFFSET(L!$C$1,MATCH("Checker"&amp;"Comp",L!$A:$A,0)-1,SL,,)</f>
        <v>Vollständig</v>
      </c>
      <c r="J52" s="18" t="str">
        <f ca="1">OFFSET(L!$C$1,MATCH("Checker"&amp;ADDRESS(ROW(),COLUMN(),4),L!$A:$A,0)-1,SL,,)</f>
        <v xml:space="preserve">Geben Sie in der Reiterzelle D65 der Erklärung an, ob alle Informationen über Tungsten-Schmelzhütten zur Verfügung gestellt worden sind </v>
      </c>
    </row>
    <row r="53" spans="1:10" ht="25.5">
      <c r="A53" s="86" t="str">
        <f ca="1">Declaration!B74</f>
        <v>Frage</v>
      </c>
      <c r="B53" s="89"/>
      <c r="C53" s="89"/>
      <c r="D53" s="93"/>
      <c r="E53" s="19" t="s">
        <v>426</v>
      </c>
      <c r="F53" s="90"/>
      <c r="G53" s="90"/>
      <c r="H53" s="90"/>
    </row>
    <row r="54" spans="1:10" ht="39">
      <c r="A54" s="86" t="str">
        <f ca="1">Declaration!B75</f>
        <v>A. Haben Sie eine konfliktfreie Beschaffungsrichtlinie für Mineralien erstellt? (*)</v>
      </c>
      <c r="B54" s="86" t="str">
        <f>Declaration!D75</f>
        <v>Yes</v>
      </c>
      <c r="C54" s="86" t="str">
        <f t="shared" ref="C54:C60" ca="1" si="10">IF(H54=1,J54,I54)</f>
        <v>Vollständig</v>
      </c>
      <c r="D54" s="92" t="str">
        <f>IF(H54=1,"Click here to answer question (A)","")</f>
        <v/>
      </c>
      <c r="E54" s="19" t="s">
        <v>1261</v>
      </c>
      <c r="F54" s="91">
        <f>IF(SUM(F$24:F$27)=0,0,1)</f>
        <v>1</v>
      </c>
      <c r="G54" s="67">
        <f>IF(B54=0,1,0)</f>
        <v>0</v>
      </c>
      <c r="H54" s="68">
        <f t="shared" ref="H54:H60" si="11">F54*G54</f>
        <v>0</v>
      </c>
      <c r="I54" s="142" t="str">
        <f ca="1">OFFSET(L!$C$1,MATCH("Checker"&amp;"Comp",L!$A:$A,0)-1,SL,,)</f>
        <v>Vollständig</v>
      </c>
      <c r="J54" s="18" t="str">
        <f ca="1">OFFSET(L!$C$1,MATCH("Checker"&amp;ADDRESS(ROW(),COLUMN(),4),L!$A:$A,0)-1,SL,,)</f>
        <v>Geben Sie in Zelle D75 der Erklärung an, ob Ihr Unternehmen Ihre Richtlinie zur konfliktfreien Mineralienbeschaffung auf seiner Website öffentlich verfügbar gemacht hat</v>
      </c>
    </row>
    <row r="55" spans="1:10" ht="54.75" customHeight="1">
      <c r="A55" s="86" t="str">
        <f ca="1">Declaration!B77</f>
        <v>B. Ist Ihre konfliktfreie Beschaffungsrichtlinie für Mineralien auf Ihrer Website einsehbar? (Hinweis - Wenn „Ja“, sollte der Benutzer die URL im Anmerkungsfeld angeben.) (*)</v>
      </c>
      <c r="B55" s="86" t="str">
        <f>Declaration!D77</f>
        <v>No</v>
      </c>
      <c r="C55" s="86" t="str">
        <f t="shared" ca="1" si="10"/>
        <v>Vollständig</v>
      </c>
      <c r="D55" s="92" t="str">
        <f>IF(H55=1,"Click here to answer question (B)","")</f>
        <v/>
      </c>
      <c r="E55" s="19" t="s">
        <v>1261</v>
      </c>
      <c r="F55" s="91">
        <f t="shared" ref="F55" si="12">F$54</f>
        <v>1</v>
      </c>
      <c r="G55" s="67">
        <f>IF(B55=0,1,0)</f>
        <v>0</v>
      </c>
      <c r="H55" s="68">
        <f t="shared" si="11"/>
        <v>0</v>
      </c>
      <c r="I55" s="142" t="str">
        <f ca="1">OFFSET(L!$C$1,MATCH("Checker"&amp;"Comp",L!$A:$A,0)-1,SL,,)</f>
        <v>Vollständig</v>
      </c>
      <c r="J55" s="18" t="str">
        <f ca="1">OFFSET(L!$C$1,MATCH("Checker"&amp;ADDRESS(ROW(),COLUMN(),4),L!$A:$A,0)-1,SL,,)</f>
        <v>Geben Sie in Zelle D77 der Erklärung an, ob Ihr Unternehmen Ihre Richtlinie zur konfliktfreien Mineralieneschaffung auf seiner Website öffentlich verfügbar gemacht hat</v>
      </c>
    </row>
    <row r="56" spans="1:10" ht="38.450000000000003" customHeight="1">
      <c r="A56" s="86" t="s">
        <v>3</v>
      </c>
      <c r="B56" s="86">
        <f>Declaration!G77</f>
        <v>0</v>
      </c>
      <c r="C56" s="86" t="str">
        <f t="shared" ca="1" si="10"/>
        <v>Vollständig</v>
      </c>
      <c r="D56" s="92" t="str">
        <f>IF(H56=1,"Click here to specify URL for question (B)","")</f>
        <v/>
      </c>
      <c r="E56" s="19"/>
      <c r="F56" s="91">
        <f>IF(AND(F55=1,B55="Yes"),1,0)</f>
        <v>0</v>
      </c>
      <c r="G56" s="67">
        <f>IF(LEN(B56)&gt;1,0,1)</f>
        <v>1</v>
      </c>
      <c r="H56" s="68">
        <f t="shared" si="11"/>
        <v>0</v>
      </c>
      <c r="I56" s="142" t="str">
        <f ca="1">OFFSET(L!$C$1,MATCH("Checker"&amp;"Comp",L!$A:$A,0)-1,SL,,)</f>
        <v>Vollständig</v>
      </c>
      <c r="J56" s="137" t="str">
        <f ca="1">OFFSET(L!$C$1,MATCH("Checker"&amp;ADDRESS(ROW(),COLUMN(),4),L!$A:$A,0)-1,SL,,)</f>
        <v xml:space="preserve">Geben Sie in der Arbeitsblattzelle D77 der Erklärung den URL an, falls Sie Frage B mit „Ja“ beantworten. Das Format des URL sollte „www.companyname.com“ entsprechen </v>
      </c>
    </row>
    <row r="57" spans="1:10" ht="51">
      <c r="A57" s="86" t="str">
        <f ca="1">Declaration!B79</f>
        <v>C. Verlangen Sie von Ihren direkten Lieferanten, das 3TG-Mineral ausschließlich von Schmelzhütten zu beziehen, deren Sorgfaltspflichts-Praktiken von einer unabhängigen Instanz überprüft wurden? (*)</v>
      </c>
      <c r="B57" s="86" t="str">
        <f>Declaration!D79</f>
        <v>Yes</v>
      </c>
      <c r="C57" s="86" t="str">
        <f t="shared" ca="1" si="10"/>
        <v>Vollständig</v>
      </c>
      <c r="D57" s="92" t="str">
        <f>IF(H57=1,"Click here to answer question (C)","")</f>
        <v/>
      </c>
      <c r="E57" s="19" t="s">
        <v>1261</v>
      </c>
      <c r="F57" s="91">
        <f>F$54</f>
        <v>1</v>
      </c>
      <c r="G57" s="67">
        <f>IF(B57=0,1,0)</f>
        <v>0</v>
      </c>
      <c r="H57" s="68">
        <f t="shared" si="11"/>
        <v>0</v>
      </c>
      <c r="I57" s="142" t="str">
        <f ca="1">OFFSET(L!$C$1,MATCH("Checker"&amp;"Comp",L!$A:$A,0)-1,SL,,)</f>
        <v>Vollständig</v>
      </c>
      <c r="J57" s="18" t="str">
        <f ca="1">OFFSET(L!$C$1,MATCH("Checker"&amp;ADDRESS(ROW(),COLUMN(),4),L!$A:$A,0)-1,SL,,)</f>
        <v>Geben Sie in Zelle D79 der Erklärung an, ob Sie von Ihren direkten Lieferanten verlangen, bei Schmelzhütten einzukaufen, deren Due-Diligence-Praktiken von unabhängigen Prüfungsprogramm Dritter überprüft worden sind</v>
      </c>
    </row>
    <row r="58" spans="1:10" ht="39">
      <c r="A58" s="86" t="str">
        <f ca="1">Declaration!B81</f>
        <v>D. Haben Sie Sorgfaltspflichtmaßnahmen für die konfliktfreie Beschaffung in Kraft gesetzt? (*)</v>
      </c>
      <c r="B58" s="86" t="str">
        <f>Declaration!D81</f>
        <v>Yes</v>
      </c>
      <c r="C58" s="86" t="str">
        <f t="shared" ca="1" si="10"/>
        <v>Vollständig</v>
      </c>
      <c r="D58" s="92" t="str">
        <f>IF(H58=1,"Click here to answer question (D)","")</f>
        <v/>
      </c>
      <c r="E58" s="19" t="s">
        <v>1261</v>
      </c>
      <c r="F58" s="91">
        <f>F$54</f>
        <v>1</v>
      </c>
      <c r="G58" s="67">
        <f>IF(B58=0,1,0)</f>
        <v>0</v>
      </c>
      <c r="H58" s="68">
        <f t="shared" si="11"/>
        <v>0</v>
      </c>
      <c r="I58" s="142" t="str">
        <f ca="1">OFFSET(L!$C$1,MATCH("Checker"&amp;"Comp",L!$A:$A,0)-1,SL,,)</f>
        <v>Vollständig</v>
      </c>
      <c r="J58" s="18" t="str">
        <f ca="1">OFFSET(L!$C$1,MATCH("Checker"&amp;ADDRESS(ROW(),COLUMN(),4),L!$A:$A,0)-1,SL,,)</f>
        <v>Geben Sie in der Reiterzelle D81 der Erklärung an, ob Sie von Ihren Lieferanten Namen von Schmelzhütten verlangen</v>
      </c>
    </row>
    <row r="59" spans="1:10" ht="39">
      <c r="A59" s="86" t="str">
        <f ca="1">Declaration!B83</f>
        <v>E. Veranstaltet Ihr Unternehmen (eine) Konfliktmineralienumfrage(n) mit seinen entsprechenden Lieferanten? (*)</v>
      </c>
      <c r="B59" s="86" t="str">
        <f>Declaration!D83</f>
        <v>Yes, in conformance with IPC1755 (e.g., CMRT)</v>
      </c>
      <c r="C59" s="86" t="str">
        <f t="shared" ca="1" si="10"/>
        <v>Vollständig</v>
      </c>
      <c r="D59" s="92" t="str">
        <f>IF(H59=1,"Click here to answer question (E)","")</f>
        <v/>
      </c>
      <c r="E59" s="19" t="s">
        <v>1261</v>
      </c>
      <c r="F59" s="91">
        <f>F$54</f>
        <v>1</v>
      </c>
      <c r="G59" s="67">
        <f>IF(B59=0,1,0)</f>
        <v>0</v>
      </c>
      <c r="H59" s="68">
        <f t="shared" si="11"/>
        <v>0</v>
      </c>
      <c r="I59" s="142" t="str">
        <f ca="1">OFFSET(L!$C$1,MATCH("Checker"&amp;"Comp",L!$A:$A,0)-1,SL,,)</f>
        <v>Vollständig</v>
      </c>
      <c r="J59" s="18" t="str">
        <f ca="1">OFFSET(L!$C$1,MATCH("Checker"&amp;ADDRESS(ROW(),COLUMN(),4),L!$A:$A,0)-1,SL,,)</f>
        <v>Geben Sie in der Reiterzelle D83 der Erklärung an, ob Sie von Ihren Lieferanten verlangen, diese Vorlage zur Berichterstattung über Konfliktmineralien auszufüllen</v>
      </c>
    </row>
    <row r="60" spans="1:10" ht="51">
      <c r="A60" s="86" t="str">
        <f ca="1">Declaration!B85</f>
        <v>F. Überprüfen Sie die Sorgfaltspflichts-Informationen, die Sie von ihren Lieferanten erhalten, anhand der Erwartungen Ihres Unternehmens? (*)</v>
      </c>
      <c r="B60" s="86" t="str">
        <f>Declaration!D85</f>
        <v>Yes</v>
      </c>
      <c r="C60" s="86" t="str">
        <f t="shared" ca="1" si="10"/>
        <v>Vollständig</v>
      </c>
      <c r="D60" s="92" t="str">
        <f>IF(H60=1,"Click here to answer question (F)","")</f>
        <v/>
      </c>
      <c r="E60" s="19" t="s">
        <v>1261</v>
      </c>
      <c r="F60" s="91">
        <f>F$54</f>
        <v>1</v>
      </c>
      <c r="G60" s="67">
        <f>IF(B60=0,1,0)</f>
        <v>0</v>
      </c>
      <c r="H60" s="68">
        <f t="shared" si="11"/>
        <v>0</v>
      </c>
      <c r="I60" s="142" t="str">
        <f ca="1">OFFSET(L!$C$1,MATCH("Checker"&amp;"Comp",L!$A:$A,0)-1,SL,,)</f>
        <v>Vollständig</v>
      </c>
      <c r="J60" s="18" t="str">
        <f ca="1">OFFSET(L!$C$1,MATCH("Checker"&amp;ADDRESS(ROW(),COLUMN(),4),L!$A:$A,0)-1,SL,,)</f>
        <v>Geben Sie in der Reiterzelle D85 der Erklärung an, ob Sie Antworten der Lieferanten auf die Anforderungen Ihres Unternehmens überprüfen</v>
      </c>
    </row>
    <row r="61" spans="1:10" ht="15" hidden="1">
      <c r="A61" s="86"/>
      <c r="B61" s="86"/>
      <c r="C61" s="86"/>
      <c r="D61" s="92"/>
      <c r="E61" s="19"/>
      <c r="F61" s="91"/>
      <c r="G61" s="67"/>
      <c r="H61" s="68"/>
      <c r="I61" s="142"/>
    </row>
    <row r="62" spans="1:10" ht="39">
      <c r="A62" s="86" t="str">
        <f ca="1">Declaration!B87</f>
        <v>G. Sieht Ihr Review-Prozess ein Korrekturmaßnahmen-Management vor? (*)</v>
      </c>
      <c r="B62" s="86" t="str">
        <f>Declaration!D87</f>
        <v>Yes</v>
      </c>
      <c r="C62" s="86" t="str">
        <f t="shared" ref="C62:C68" ca="1" si="13">IF(H62=1,J62,I62)</f>
        <v>Vollständig</v>
      </c>
      <c r="D62" s="92" t="str">
        <f>IF(H62=1,"Click here to answer question (G)","")</f>
        <v/>
      </c>
      <c r="E62" s="19" t="s">
        <v>1261</v>
      </c>
      <c r="F62" s="91">
        <f>F$54</f>
        <v>1</v>
      </c>
      <c r="G62" s="67">
        <f>IF(B62=0,1,0)</f>
        <v>0</v>
      </c>
      <c r="H62" s="68">
        <f t="shared" ref="H62:H69" si="14">F62*G62</f>
        <v>0</v>
      </c>
      <c r="I62" s="142" t="str">
        <f ca="1">OFFSET(L!$C$1,MATCH("Checker"&amp;"Comp",L!$A:$A,0)-1,SL,,)</f>
        <v>Vollständig</v>
      </c>
      <c r="J62" s="18" t="str">
        <f ca="1">OFFSET(L!$C$1,MATCH("Checker"&amp;ADDRESS(ROW(),COLUMN(),4),L!$A:$A,0)-1,SL,,)</f>
        <v>Geben Sie in der Reiterzelle D87 der Erklärung an, ob Ihr Prüfungsverfahren ein Abhilfemaßnahmen-Management umfasst</v>
      </c>
    </row>
    <row r="63" spans="1:10" ht="39">
      <c r="A63" s="86" t="str">
        <f ca="1">Declaration!B89</f>
        <v>H. Ist Ihr Unternehmen zu einer jährlichen Offenlegung der Konfliktmineralien verpflichtet? (*)</v>
      </c>
      <c r="B63" s="86" t="str">
        <f>Declaration!D89</f>
        <v>No</v>
      </c>
      <c r="C63" s="86" t="str">
        <f t="shared" ca="1" si="13"/>
        <v>Vollständig</v>
      </c>
      <c r="D63" s="92" t="str">
        <f>IF(H63=1,"Click here to answer question (H)","")</f>
        <v/>
      </c>
      <c r="E63" s="19" t="s">
        <v>1261</v>
      </c>
      <c r="F63" s="91">
        <f>F$54</f>
        <v>1</v>
      </c>
      <c r="G63" s="67">
        <f>IF(B63=0,1,0)</f>
        <v>0</v>
      </c>
      <c r="H63" s="68">
        <f t="shared" si="14"/>
        <v>0</v>
      </c>
      <c r="I63" s="142" t="str">
        <f ca="1">OFFSET(L!$C$1,MATCH("Checker"&amp;"Comp",L!$A:$A,0)-1,SL,,)</f>
        <v>Vollständig</v>
      </c>
      <c r="J63" s="18" t="str">
        <f ca="1">OFFSET(L!$C$1,MATCH("Checker"&amp;ADDRESS(ROW(),COLUMN(),4),L!$A:$A,0)-1,SL,,)</f>
        <v>Geben Sie in Zelle D89 der Erklärung an, ob Sie der Offenlegungspflicht gegenüber der SEC, der EU-Regelung oder beiden unterliegen</v>
      </c>
    </row>
    <row r="64" spans="1:10" ht="39">
      <c r="A64" s="86" t="s">
        <v>1254</v>
      </c>
      <c r="B64" s="86" t="str">
        <f ca="1">IF(G64=1,"No products or item numbers listed","One or more product / item numbers have been provided")</f>
        <v>No products or item numbers listed</v>
      </c>
      <c r="C64" s="86" t="str">
        <f t="shared" ca="1" si="13"/>
        <v>Vollständig</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Vollständig</v>
      </c>
      <c r="J64" s="18" t="str">
        <f ca="1">OFFSET(L!$C$1,MATCH("Checker"&amp;ADDRESS(ROW(),COLUMN(),4),L!$A:$A,0)-1,SL,,)</f>
        <v>Nennen Sie ggf. ein oder mehr Produkte oder Gegenstandsnummern, auf die diese Erklärung anwendbar ist. Wählen Sie im Erklärungsreiter Hyperlink in Zelle 6H1, um den Reiter „Produktliste“ einzugeben</v>
      </c>
    </row>
    <row r="65" spans="1:12" ht="39">
      <c r="A65" s="86" t="s">
        <v>14563</v>
      </c>
      <c r="B65" s="86"/>
      <c r="C65" s="86" t="str">
        <f t="shared" ca="1" si="13"/>
        <v>Vollständig</v>
      </c>
      <c r="D65" s="92" t="str">
        <f ca="1">IF(H65=0,"","Click here to provide smelter information")</f>
        <v/>
      </c>
      <c r="E65" s="19" t="s">
        <v>1261</v>
      </c>
      <c r="F65" s="91">
        <f>F24</f>
        <v>0</v>
      </c>
      <c r="G65" s="67">
        <f ca="1">IF(AND(COUNTIF(SmelterIdetifiedForMetal,"Tantalum")&gt;0,COUNTIF('Smelter List'!AB$5:AB$2504,"Tantalum?*")&gt;0),0,1)</f>
        <v>1</v>
      </c>
      <c r="H65" s="68">
        <f t="shared" ca="1" si="14"/>
        <v>0</v>
      </c>
      <c r="I65" s="142" t="str">
        <f ca="1">OFFSET(L!$C$1,MATCH("Checker"&amp;"Comp",L!$A:$A,0)-1,SL,,)</f>
        <v>Vollständig</v>
      </c>
      <c r="J65" s="18" t="str">
        <f ca="1">OFFSET(L!$C$1,MATCH("Checker"&amp;ADDRESS(ROW(),COLUMN(),4),L!$A:$A,0)-1,SL,,)</f>
        <v xml:space="preserve">Geben Sie im Reiter „Smelter List“ eine Liste von Tantalum-Schmelzhütten ein, die Material für die Lieferkette beitragen </v>
      </c>
      <c r="K65" s="147">
        <f>IF(H14+H19&gt;0,1,0)</f>
        <v>0</v>
      </c>
      <c r="L65" s="18" t="e">
        <f ca="1">OFFSET(L!$C$1,MATCH("Checker"&amp;ADDRESS(ROW(),COLUMN(),4),L!$A:$A,0)-1,SL,,)</f>
        <v>#N/A</v>
      </c>
    </row>
    <row r="66" spans="1:12" ht="39">
      <c r="A66" s="86" t="s">
        <v>1761</v>
      </c>
      <c r="B66" s="86"/>
      <c r="C66" s="86" t="str">
        <f t="shared" ca="1" si="13"/>
        <v>Vollständig</v>
      </c>
      <c r="D66" s="92" t="str">
        <f ca="1">IF(H66=0,"","Click here to provide smelter information")</f>
        <v/>
      </c>
      <c r="E66" s="19" t="s">
        <v>770</v>
      </c>
      <c r="F66" s="91">
        <f>F25</f>
        <v>1</v>
      </c>
      <c r="G66" s="67">
        <f ca="1">IF(AND(COUNTIF(SmelterIdetifiedForMetal,"Tin")&gt;0,COUNTIF('Smelter List'!AB$5:AB$2504,"Tin?*")&gt;0),0,1)</f>
        <v>0</v>
      </c>
      <c r="H66" s="68">
        <f t="shared" ca="1" si="14"/>
        <v>0</v>
      </c>
      <c r="I66" s="142" t="str">
        <f ca="1">OFFSET(L!$C$1,MATCH("Checker"&amp;"Comp",L!$A:$A,0)-1,SL,,)</f>
        <v>Vollständig</v>
      </c>
      <c r="J66" s="18" t="str">
        <f ca="1">OFFSET(L!$C$1,MATCH("Checker"&amp;ADDRESS(ROW(),COLUMN(),4),L!$A:$A,0)-1,SL,,)</f>
        <v xml:space="preserve">Geben Sie im Reiter „Smelter List“ eine Liste von Zinn-Schmelzhütten ein, die Material für die Lieferkette beitragen    </v>
      </c>
      <c r="K66" s="147">
        <f>IF(H15+H20&gt;0,1,0)</f>
        <v>0</v>
      </c>
      <c r="L66" s="18" t="e">
        <f ca="1">OFFSET(L!$C$1,MATCH("Checker"&amp;ADDRESS(ROW(),COLUMN(),4),L!$A:$A,0)-1,SL,,)</f>
        <v>#N/A</v>
      </c>
    </row>
    <row r="67" spans="1:12" ht="39">
      <c r="A67" s="86" t="s">
        <v>1762</v>
      </c>
      <c r="B67" s="86"/>
      <c r="C67" s="86" t="str">
        <f t="shared" ca="1" si="13"/>
        <v>Vollständig</v>
      </c>
      <c r="D67" s="92" t="str">
        <f ca="1">IF(H67=0,"","Click here to provide smelter information")</f>
        <v/>
      </c>
      <c r="E67" s="19" t="s">
        <v>770</v>
      </c>
      <c r="F67" s="91">
        <f>F26</f>
        <v>1</v>
      </c>
      <c r="G67" s="67">
        <f ca="1">IF(AND(COUNTIF(SmelterIdetifiedForMetal,"Gold")&gt;0,COUNTIF('Smelter List'!AB$5:AB$2504,"Gold?*")&gt;0),0,1)</f>
        <v>0</v>
      </c>
      <c r="H67" s="68">
        <f t="shared" ca="1" si="14"/>
        <v>0</v>
      </c>
      <c r="I67" s="142" t="str">
        <f ca="1">OFFSET(L!$C$1,MATCH("Checker"&amp;"Comp",L!$A:$A,0)-1,SL,,)</f>
        <v>Vollständig</v>
      </c>
      <c r="J67" s="18" t="str">
        <f ca="1">OFFSET(L!$C$1,MATCH("Checker"&amp;ADDRESS(ROW(),COLUMN(),4),L!$A:$A,0)-1,SL,,)</f>
        <v xml:space="preserve">Geben Sie im Reiter „Smelter List“ eine Liste von Gold-Schmelzhütten ein, die Material für die Lieferkette beitragen  </v>
      </c>
      <c r="K67" s="147">
        <f>IF(H16+H21&gt;0,1,0)</f>
        <v>0</v>
      </c>
      <c r="L67" s="18" t="e">
        <f ca="1">OFFSET(L!$C$1,MATCH("Checker"&amp;ADDRESS(ROW(),COLUMN(),4),L!$A:$A,0)-1,SL,,)</f>
        <v>#N/A</v>
      </c>
    </row>
    <row r="68" spans="1:12" ht="39">
      <c r="A68" s="86" t="s">
        <v>1763</v>
      </c>
      <c r="B68" s="86"/>
      <c r="C68" s="86" t="str">
        <f t="shared" ca="1" si="13"/>
        <v>Vollständig</v>
      </c>
      <c r="D68" s="92" t="str">
        <f ca="1">IF(H68=0,"","Click here to provide smelter information")</f>
        <v/>
      </c>
      <c r="E68" s="19" t="s">
        <v>770</v>
      </c>
      <c r="F68" s="91">
        <f>F27</f>
        <v>0</v>
      </c>
      <c r="G68" s="67">
        <f ca="1">IF(AND(COUNTIF(SmelterIdetifiedForMetal,"Tungsten")&gt;0,COUNTIF('Smelter List'!AB$5:AB$2504,"Tungsten?*")&gt;0),0,1)</f>
        <v>1</v>
      </c>
      <c r="H68" s="68">
        <f t="shared" ca="1" si="14"/>
        <v>0</v>
      </c>
      <c r="I68" s="142" t="str">
        <f ca="1">OFFSET(L!$C$1,MATCH("Checker"&amp;"Comp",L!$A:$A,0)-1,SL,,)</f>
        <v>Vollständig</v>
      </c>
      <c r="J68" s="18" t="str">
        <f ca="1">OFFSET(L!$C$1,MATCH("Checker"&amp;ADDRESS(ROW(),COLUMN(),4),L!$A:$A,0)-1,SL,,)</f>
        <v xml:space="preserve">Geben Sie im Reiter „Smelter List“ eine Liste von Tungsten-Schmelzhütten ein, die Material für die Lieferkette beitragen  </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Vollständig</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baseColWidth="10"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Abschluss nur erforderlich, wenn die Ebene "Produkt (oder eine Liste von Produkten)" auf der "Erklärung" Arbeitsblatt ausgewählt wurde-</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31.5">
      <c r="A5" s="128"/>
      <c r="B5" s="129" t="str">
        <f ca="1">OFFSET(L!$C$1,MATCH("Product List"&amp;ADDRESS(ROW(),COLUMN(),4),L!$A:$A,0)-1,SL,,)</f>
        <v>Produkt- oder Artikelnummer des Befragten (*)</v>
      </c>
      <c r="C5" s="129" t="str">
        <f ca="1">OFFSET(L!$C$1,MATCH("Product List"&amp;ADDRESS(ROW(),COLUMN(),4),L!$A:$A,0)-1,SL,,)</f>
        <v>Produkt- oder Artikelbeschreibung des Befragten</v>
      </c>
      <c r="D5" s="129" t="str">
        <f ca="1">OFFSET(L!$C$1,MATCH("Product List"&amp;ADDRESS(ROW(),COLUMN(),4),L!$A:$A,0)-1,SL,,)</f>
        <v>Produkt- oder Artikelnummer des Anforderer</v>
      </c>
      <c r="E5" s="129" t="str">
        <f ca="1">OFFSET(L!$C$1,MATCH("Product List"&amp;ADDRESS(ROW(),COLUMN(),4),L!$A:$A,0)-1,SL,,)</f>
        <v>Produkt- oder Artikelbeschreibung des Anforderer</v>
      </c>
      <c r="F5" s="69" t="str">
        <f ca="1">OFFSET(L!$C$1,MATCH("Product List"&amp;ADDRESS(ROW(),COLUMN(),4),L!$A:$A,0)-1,SL,,)</f>
        <v>Kommentare</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169" activePane="bottomLeft" state="frozen"/>
      <selection activeCell="A4" sqref="A4"/>
      <selection pane="bottomLeft" activeCell="C181" sqref="C181"/>
    </sheetView>
  </sheetViews>
  <sheetFormatPr baseColWidth="10"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Metall</v>
      </c>
      <c r="B4" s="175" t="str">
        <f ca="1">OFFSET(L!$C$1,MATCH("Smelter Look-up"&amp;ADDRESS(ROW(),COLUMN(),4),L!$A:$A,0)-1,SL,,)</f>
        <v>Schmelzhüttensuche (*)</v>
      </c>
      <c r="C4" s="175" t="str">
        <f ca="1">OFFSET(L!$C$1,MATCH("Smelter Look-up"&amp;ADDRESS(ROW(),COLUMN(),4),L!$A:$A,0)-1,SL,,)</f>
        <v>Standard Schmelzhütten Namen</v>
      </c>
      <c r="D4" s="175" t="str">
        <f ca="1">OFFSET(L!$C$1,MATCH("Smelter Look-up"&amp;ADDRESS(ROW(),COLUMN(),4),L!$A:$A,0)-1,SL,,)</f>
        <v>Schmelzhütte: Land</v>
      </c>
      <c r="E4" s="175" t="str">
        <f ca="1">OFFSET(L!$C$1,MATCH("Smelter Look-up"&amp;ADDRESS(ROW(),COLUMN(),4),L!$A:$A,0)-1,SL,,)</f>
        <v>Schmelzhütten-ID</v>
      </c>
      <c r="F4" s="175" t="str">
        <f ca="1">OFFSET(L!$C$1,MATCH("Smelter Look-up"&amp;ADDRESS(ROW(),COLUMN(),4),L!$A:$A,0)-1,SL,,)</f>
        <v>Quelle der Schmelzhütte Id-Nummer</v>
      </c>
      <c r="G4" s="175" t="str">
        <f ca="1">OFFSET(L!$C$1,MATCH("Smelter Look-up"&amp;ADDRESS(ROW(),COLUMN(),4),L!$A:$A,0)-1,SL,,)</f>
        <v>Schmelzhütten: Straße</v>
      </c>
      <c r="H4" s="175" t="str">
        <f ca="1">OFFSET(L!$C$1,MATCH("Smelter Look-up"&amp;ADDRESS(ROW(),COLUMN(),4),L!$A:$A,0)-1,SL,,)</f>
        <v>Schmelzhütten: Stadt</v>
      </c>
      <c r="I4" s="175" t="str">
        <f ca="1">OFFSET(L!$C$1,MATCH("Smelter Look-up"&amp;ADDRESS(ROW(),COLUMN(),4),L!$A:$A,0)-1,SL,,)</f>
        <v>Schmelzhütten: Bundesland/Provinz</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baseColWidth="10"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5">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30">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6.7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05">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56.75">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28.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56.2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99.2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0">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8.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F8EB3B92-47C3-41ED-A16A-745EC27A36C0}"/>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baseColWidth="10"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C049A548-6DD4-4F09-BAC8-8E4E903198FD}"/>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Declaration!Druckbereich</vt:lpstr>
      <vt:lpstr>Declaration!Drucktitel</vt:lpstr>
      <vt:lpstr>'Product List'!Drucktitel</vt:lpstr>
      <vt:lpstr>'Smelter List'!Drucktitel</vt:lpstr>
      <vt:lpstr>LN</vt:lpstr>
      <vt:lpstr>'Smelter List'!Metal</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Leiton GmbH - Elisabeth Rehfeld</cp:lastModifiedBy>
  <cp:lastPrinted>2015-04-21T20:47:43Z</cp:lastPrinted>
  <dcterms:created xsi:type="dcterms:W3CDTF">2010-06-21T21:00:23Z</dcterms:created>
  <dcterms:modified xsi:type="dcterms:W3CDTF">2026-04-28T12:20:36Z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